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7875" windowHeight="4215" tabRatio="599" activeTab="7"/>
  </bookViews>
  <sheets>
    <sheet name="ANEXO4" sheetId="1" r:id="rId1"/>
    <sheet name="ER" sheetId="2" r:id="rId2"/>
    <sheet name="ANEXO2" sheetId="3" r:id="rId3"/>
    <sheet name="BCE" sheetId="4" r:id="rId4"/>
    <sheet name="ECP" sheetId="5" r:id="rId5"/>
    <sheet name="ECSF" sheetId="6" r:id="rId6"/>
    <sheet name="EFE" sheetId="7" r:id="rId7"/>
    <sheet name="INDICADORES" sheetId="8" r:id="rId8"/>
  </sheets>
  <externalReferences>
    <externalReference r:id="rId11"/>
    <externalReference r:id="rId12"/>
  </externalReferences>
  <definedNames>
    <definedName name="_xlnm.Print_Area" localSheetId="3">'BCE'!$A$1:$J$88</definedName>
  </definedNames>
  <calcPr fullCalcOnLoad="1"/>
</workbook>
</file>

<file path=xl/comments6.xml><?xml version="1.0" encoding="utf-8"?>
<comments xmlns="http://schemas.openxmlformats.org/spreadsheetml/2006/main">
  <authors>
    <author>CONTABILIDAD</author>
  </authors>
  <commentList>
    <comment ref="F12" authorId="0">
      <text>
        <r>
          <rPr>
            <b/>
            <sz val="9"/>
            <rFont val="Tahoma"/>
            <family val="2"/>
          </rPr>
          <t xml:space="preserve">EFECTIVO A DIC 31 DE 2013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sanatorio</author>
  </authors>
  <commentList>
    <comment ref="A9" authorId="0">
      <text>
        <r>
          <rPr>
            <i/>
            <sz val="8"/>
            <rFont val="Century Gothic"/>
            <family val="2"/>
          </rPr>
          <t>Determina la capacidad de la Institucio para cubrir obligaciones a corto plazo, indicando la disponibilidad por cada peso de obligación</t>
        </r>
      </text>
    </comment>
    <comment ref="A14" authorId="0">
      <text>
        <r>
          <rPr>
            <sz val="8"/>
            <rFont val="Tahoma"/>
            <family val="2"/>
          </rPr>
          <t xml:space="preserve">Mide la capacidad de cubrir obligaciones a corto plazo, indicando la disponibilidad por cada peso de obligación sin recurrir a la venta de inventarios
</t>
        </r>
      </text>
    </comment>
    <comment ref="A19" authorId="0">
      <text>
        <r>
          <rPr>
            <sz val="8"/>
            <rFont val="Century Gothic"/>
            <family val="2"/>
          </rPr>
          <t>Indica la liquidez más inmediata para cubrir obligaciones a corto plazo sin recurrir a inventarios, Cuentas por cobrar, deudores dicil cobro, es decir, únicamente el disponible</t>
        </r>
      </text>
    </comment>
    <comment ref="A24" authorId="0">
      <text>
        <r>
          <rPr>
            <sz val="8"/>
            <rFont val="Century Gothic"/>
            <family val="2"/>
          </rPr>
          <t xml:space="preserve">Muestra el capital neto de trabajo una vez restadas la obligaciones o pasivos a corto plazo, es decir, con vencimientos menores a un año.
</t>
        </r>
      </text>
    </comment>
    <comment ref="A30" authorId="0">
      <text>
        <r>
          <rPr>
            <sz val="8"/>
            <rFont val="Tahoma"/>
            <family val="2"/>
          </rPr>
          <t xml:space="preserve">Determina la participación de los ingresos por servicios frente a la cartera.
</t>
        </r>
      </text>
    </comment>
    <comment ref="A35" authorId="0">
      <text>
        <r>
          <rPr>
            <sz val="8"/>
            <rFont val="Century Gothic"/>
            <family val="2"/>
          </rPr>
          <t>Indica el porcentaje de financiamiento de la institución con recursos de terceros (Acreencias ) para la obtención de activos</t>
        </r>
      </text>
    </comment>
    <comment ref="A38" authorId="0">
      <text>
        <r>
          <rPr>
            <sz val="8"/>
            <rFont val="Century Gothic"/>
            <family val="2"/>
          </rPr>
          <t>Es el complemento de la razón de endeudamiento, es decir, nos muestra el porcentaje en que los activos son financiados con el patrimonio</t>
        </r>
      </text>
    </comment>
    <comment ref="A43" authorId="0">
      <text>
        <r>
          <rPr>
            <sz val="8"/>
            <rFont val="Century Gothic"/>
            <family val="2"/>
          </rPr>
          <t>Manifiesta la rentabilidad de los activos con relación al resultado del ejercicio</t>
        </r>
        <r>
          <rPr>
            <sz val="8"/>
            <rFont val="Tahoma"/>
            <family val="2"/>
          </rPr>
          <t xml:space="preserve">
</t>
        </r>
      </text>
    </comment>
    <comment ref="A46" authorId="0">
      <text>
        <r>
          <rPr>
            <sz val="8"/>
            <rFont val="Century Gothic"/>
            <family val="2"/>
          </rPr>
          <t>Indica que  los ingresos totales guardan una proporción del X%  con referencia a los gastos y costos totales.  Este indice debe ser mayor o igual a 100%, de lo contrario existen pérdidas en la institución.</t>
        </r>
      </text>
    </comment>
    <comment ref="A50" authorId="0">
      <text>
        <r>
          <rPr>
            <sz val="8"/>
            <rFont val="Century Gothic"/>
            <family val="2"/>
          </rPr>
          <t xml:space="preserve">Refleja la participación porcentual de los ingresos fiscales tributarios y no tributarios dentro de los ingresos totales de la división territorial.  Indica también la capacidad para generar y recaudar sus propias rentas. </t>
        </r>
      </text>
    </comment>
    <comment ref="A55" authorId="0">
      <text>
        <r>
          <rPr>
            <sz val="8"/>
            <rFont val="Tahoma"/>
            <family val="2"/>
          </rPr>
          <t xml:space="preserve">EBITDA = UTILIDAD OPERATIVA+(DEPREC + AMORTIZA + PROVISIONES)
</t>
        </r>
      </text>
    </comment>
    <comment ref="A60" authorId="0">
      <text>
        <r>
          <rPr>
            <b/>
            <sz val="8"/>
            <rFont val="Tahoma"/>
            <family val="2"/>
          </rPr>
          <t>KTNO =  INVENT + CxC - CxP</t>
        </r>
      </text>
    </comment>
  </commentList>
</comments>
</file>

<file path=xl/sharedStrings.xml><?xml version="1.0" encoding="utf-8"?>
<sst xmlns="http://schemas.openxmlformats.org/spreadsheetml/2006/main" count="338" uniqueCount="262">
  <si>
    <t>Capital Social</t>
  </si>
  <si>
    <t>NOTA</t>
  </si>
  <si>
    <t>ACTIVIDADES DE OPERACIÓN</t>
  </si>
  <si>
    <t>PARTIDAS QUE NO AFECTAN EL EFECTIVO</t>
  </si>
  <si>
    <t>ACTIVIDADES DE INVERSION</t>
  </si>
  <si>
    <t>ACTIVIDADES DE FINANCIACION</t>
  </si>
  <si>
    <t>DISPONIBLE INICIAL DEL PERIODO</t>
  </si>
  <si>
    <t>DISPONIBLE FINAL DEL PERIODO</t>
  </si>
  <si>
    <t>ESTADO DE CAMBIOS EN LA SITUACION FINANCIERA</t>
  </si>
  <si>
    <t>RECURSOS PROVISTOS:</t>
  </si>
  <si>
    <t>DISPONIBLE INICIAL</t>
  </si>
  <si>
    <t>CARGOS QUE NO AFECTAN EFECTIVO</t>
  </si>
  <si>
    <t>DISMINUCION DE ACTIVOS</t>
  </si>
  <si>
    <t>Inventarios</t>
  </si>
  <si>
    <t>AUMENTO DE PASIVOS Y PATRIMONIO</t>
  </si>
  <si>
    <t>RECURSOS APLICADOS:</t>
  </si>
  <si>
    <t>AUMENTO DE ACTIVOS</t>
  </si>
  <si>
    <t>Inversiones</t>
  </si>
  <si>
    <t>DISMINUCION DE PASIVOS Y PATRIMONIO</t>
  </si>
  <si>
    <t>DISPONIBLE AL FINAL DEL PERIODO</t>
  </si>
  <si>
    <t>ESTADO DE CAMBIOS EN EL PATRIMONIO</t>
  </si>
  <si>
    <t>VARIACION</t>
  </si>
  <si>
    <t>ACTIVO</t>
  </si>
  <si>
    <t>$</t>
  </si>
  <si>
    <t>%</t>
  </si>
  <si>
    <t>CORRIENTE</t>
  </si>
  <si>
    <t>Deudores</t>
  </si>
  <si>
    <t>Anticipos al Personal</t>
  </si>
  <si>
    <t xml:space="preserve">Otras Cuentas por Cobrar </t>
  </si>
  <si>
    <t xml:space="preserve">Provisión Cuetas por Cobrar </t>
  </si>
  <si>
    <t>NO CORRIENTE</t>
  </si>
  <si>
    <t>Diferidos</t>
  </si>
  <si>
    <t>Muebles y Equipo de Oficina</t>
  </si>
  <si>
    <t>Equipo de Computación y  Comunicación</t>
  </si>
  <si>
    <t>TOTAL ACTIVO</t>
  </si>
  <si>
    <t>CUENTAS DE ORDEN</t>
  </si>
  <si>
    <t>Deudoras de Control</t>
  </si>
  <si>
    <t>PASIVO</t>
  </si>
  <si>
    <t>Otros pasivos</t>
  </si>
  <si>
    <t xml:space="preserve">Obligaciones Laborales </t>
  </si>
  <si>
    <t>TOTAL PASIVO</t>
  </si>
  <si>
    <t>PATRIMONIO</t>
  </si>
  <si>
    <t>Reserva Protección Aportes Sociales</t>
  </si>
  <si>
    <t>Reserva Especial</t>
  </si>
  <si>
    <t>Reserva por Exposición a la Inflación</t>
  </si>
  <si>
    <t>Fondo para Amortización de Aportes Sociales</t>
  </si>
  <si>
    <t>Fondo para Infraestructura Física</t>
  </si>
  <si>
    <t>Otros Fondos</t>
  </si>
  <si>
    <t>Auxilios y Donaciones</t>
  </si>
  <si>
    <t>Revalorización del Patrimonio</t>
  </si>
  <si>
    <t>Excedente o Pérdida de Ejercicios Anteriores</t>
  </si>
  <si>
    <t>Excedente o Pérdida del Ejercicio</t>
  </si>
  <si>
    <t>TOTAL PASIVO Y PATRIMONIO</t>
  </si>
  <si>
    <t>ACTIVIDAD OPERACIONAL:</t>
  </si>
  <si>
    <t>INGRESOS OPERACIONES</t>
  </si>
  <si>
    <t>COSTOS Y GASTOS OPERACIONALES</t>
  </si>
  <si>
    <t>De Administración</t>
  </si>
  <si>
    <t>EXCEDENTE (PERDIDA) OPERACIONAL</t>
  </si>
  <si>
    <t>ACTIVIDAD NO OPERACIONAL:</t>
  </si>
  <si>
    <t>Gastos no operacionales</t>
  </si>
  <si>
    <t>EXCEDENTE (PERDIDA) NO OPERACIONAL</t>
  </si>
  <si>
    <t>Exced. o Pérd. Exp. a la Inflación</t>
  </si>
  <si>
    <t>Resultado del Ejercicio</t>
  </si>
  <si>
    <t>Cuentas por Pagar</t>
  </si>
  <si>
    <t>Otros Ingresos</t>
  </si>
  <si>
    <t>Costo de Venta</t>
  </si>
  <si>
    <t>Propiedad Planta y Equipo</t>
  </si>
  <si>
    <t>Pasivos estimados</t>
  </si>
  <si>
    <t>FLUJO NETO EN ACTIV. DE INVERSION Y FINANC.</t>
  </si>
  <si>
    <t>FLUJO DE EFECTIVO NETO EN ACTIV. DE OPERAC.</t>
  </si>
  <si>
    <t>Otros Activos</t>
  </si>
  <si>
    <t>EFECTIVO GENERADO EN ACTIVIDAD. DE OPERACIÓN</t>
  </si>
  <si>
    <t>Efectivo</t>
  </si>
  <si>
    <t>CONCEPTO</t>
  </si>
  <si>
    <t>ANEXO 4</t>
  </si>
  <si>
    <t>SANATORIO DE CONTRATACION ESE</t>
  </si>
  <si>
    <t>ESTADO   DE   ACTIVIDAD ECONOMICA, SOCIAL Y AMBIENTAL</t>
  </si>
  <si>
    <t>VIGILADOS SUPERSALUD</t>
  </si>
  <si>
    <t>(CIFRAS EN PESOS)</t>
  </si>
  <si>
    <t>VENTA DE BIENES</t>
  </si>
  <si>
    <t>VENTA DE SERVICIOS</t>
  </si>
  <si>
    <t>Bienes comercializados</t>
  </si>
  <si>
    <t>Servicios de Salud</t>
  </si>
  <si>
    <t>OPERACIONES INTERINSTITUCIONALES</t>
  </si>
  <si>
    <t>Fondos recibidos funcionamiento</t>
  </si>
  <si>
    <t>operaciones sin flujo de efectivo</t>
  </si>
  <si>
    <t>Servicios de salud</t>
  </si>
  <si>
    <t>Devoluciones, rebajas y descuentos en venta de servicios (db)</t>
  </si>
  <si>
    <t>TRANSFERENCIAS</t>
  </si>
  <si>
    <t>Otras transferencias</t>
  </si>
  <si>
    <t>COSTO DE VENTAS</t>
  </si>
  <si>
    <t>COSTO DE VENTA DE BIENES</t>
  </si>
  <si>
    <t xml:space="preserve">Costo de ventas de  Servicios </t>
  </si>
  <si>
    <t>GASTOS OPERACIONALES</t>
  </si>
  <si>
    <t>ADMINISTRACION</t>
  </si>
  <si>
    <t>Sueldos y Salarios</t>
  </si>
  <si>
    <t>Contribuciones Imputadas</t>
  </si>
  <si>
    <t>Contribuciones Efectivas</t>
  </si>
  <si>
    <t>Aportes Sobre la Nómina</t>
  </si>
  <si>
    <t>Generales</t>
  </si>
  <si>
    <t>Impuestos,Contribuciones y Tasas</t>
  </si>
  <si>
    <t>Provisiones, agotamiento, depreciaciones y amortizaciones</t>
  </si>
  <si>
    <t>Provision deudores</t>
  </si>
  <si>
    <t>Depreciación de Propìedad Planta y Equipo</t>
  </si>
  <si>
    <t>Amortización de Intangibles</t>
  </si>
  <si>
    <t>GASTO PUBLICO</t>
  </si>
  <si>
    <t>Subsidios Asignados</t>
  </si>
  <si>
    <t>Rendimientos financieros</t>
  </si>
  <si>
    <t>Otros ingresos ordinarios</t>
  </si>
  <si>
    <t>Extraordinarios</t>
  </si>
  <si>
    <t>Ajuste de ejercicios anteriores</t>
  </si>
  <si>
    <t>OTROS GASTOS (Gastos no operacionales)</t>
  </si>
  <si>
    <t>Comisiones y Otros gastos Bancarios</t>
  </si>
  <si>
    <t>Financieros</t>
  </si>
  <si>
    <t>Otros Gastos Ordinarios</t>
  </si>
  <si>
    <t>Ajustes de ejercicios anteriores</t>
  </si>
  <si>
    <t>ANEXO 3</t>
  </si>
  <si>
    <t xml:space="preserve">        ANEXO No 2</t>
  </si>
  <si>
    <t>SANATORIO DE CONTRATACION E.S.E.</t>
  </si>
  <si>
    <t>BALANCE GENERAL</t>
  </si>
  <si>
    <t>(Cifras en pesos)</t>
  </si>
  <si>
    <t xml:space="preserve">        ANEXO No 1</t>
  </si>
  <si>
    <t>EFECTIVO</t>
  </si>
  <si>
    <t>Caja</t>
  </si>
  <si>
    <t>Depositos instituciones financieras</t>
  </si>
  <si>
    <t>INVERSIONES</t>
  </si>
  <si>
    <t xml:space="preserve">Inversiones Admon  Liquidez Titulo Deuda </t>
  </si>
  <si>
    <t>Inversiones de liquidez titulos</t>
  </si>
  <si>
    <t>DEUDORES</t>
  </si>
  <si>
    <t>INVENTARIOS</t>
  </si>
  <si>
    <t>Transferencias por cobrar</t>
  </si>
  <si>
    <t>Otros deudores</t>
  </si>
  <si>
    <t>Provisión para deudores</t>
  </si>
  <si>
    <t>Materiales para la Prestación de Servicios</t>
  </si>
  <si>
    <t>Terrenos</t>
  </si>
  <si>
    <t>Construcciones en curso</t>
  </si>
  <si>
    <t>Bienes muebles en bodega</t>
  </si>
  <si>
    <t>Edificaciones</t>
  </si>
  <si>
    <t>plantas ductos y tuneles</t>
  </si>
  <si>
    <t>Maquinaria y equipo</t>
  </si>
  <si>
    <t>Equipo médico y científico</t>
  </si>
  <si>
    <t>Muebles, enseres y equipos de oficina</t>
  </si>
  <si>
    <t>Equipos de comunicación y computación</t>
  </si>
  <si>
    <t>Equipo de transporte, tracción y elevac.</t>
  </si>
  <si>
    <t>Equipo de comedor, cocina, desp. y hotele.</t>
  </si>
  <si>
    <t>Depreciación acumulada</t>
  </si>
  <si>
    <t>PROPIEDAD PLANTA Y EQUIPO</t>
  </si>
  <si>
    <t>OTROS ACTIVOS</t>
  </si>
  <si>
    <t>Bienes y servicios pagados por anticipado</t>
  </si>
  <si>
    <t>Cargos diferidos</t>
  </si>
  <si>
    <t>Bienes de arte y cultura</t>
  </si>
  <si>
    <t>Intangibles</t>
  </si>
  <si>
    <t>Amortización acumulada de intangibles</t>
  </si>
  <si>
    <t>Valorizaciones</t>
  </si>
  <si>
    <t>Derechos Contingentes</t>
  </si>
  <si>
    <t>Deudoras por contra</t>
  </si>
  <si>
    <t>CUENTAS POR PAGAR</t>
  </si>
  <si>
    <t>Adquisicion de Bienes y Servicios</t>
  </si>
  <si>
    <t>Acreedores</t>
  </si>
  <si>
    <t>Subsidios asignados</t>
  </si>
  <si>
    <t>Impuestos, contribuciones y tasas por pagar</t>
  </si>
  <si>
    <t>OBLIGACIONES LABORALES</t>
  </si>
  <si>
    <t>Obligaciones laborales</t>
  </si>
  <si>
    <t>Salarios y prestaciones sociales</t>
  </si>
  <si>
    <t>Pensiones y Prestac Econ por Pagar</t>
  </si>
  <si>
    <t>PASIVOS ESTIMADOS</t>
  </si>
  <si>
    <t>Recaudos a Favor de Terceros</t>
  </si>
  <si>
    <t>Ingresos Recibidos por Anticipado</t>
  </si>
  <si>
    <t>OTROS PASIVOS</t>
  </si>
  <si>
    <t>PATRIMONIO INSTITUCIONAL</t>
  </si>
  <si>
    <t>Capital fiscal</t>
  </si>
  <si>
    <t>Resultado de Ejercicios Anteriores</t>
  </si>
  <si>
    <t>Resultados del ejercicio</t>
  </si>
  <si>
    <t>Superavit Valorizaciones</t>
  </si>
  <si>
    <t>Patrimonio institucional Incorporado</t>
  </si>
  <si>
    <t>CUENTAS DE ORDEN ACREEDORAS</t>
  </si>
  <si>
    <t>Responsabilidades Contingentes</t>
  </si>
  <si>
    <t>Otras Cuentas Deudoras de C*C</t>
  </si>
  <si>
    <t>Acreedoras por contra (db)</t>
  </si>
  <si>
    <t>Patrimonio institucional incorporado</t>
  </si>
  <si>
    <t>ANEXO No.5</t>
  </si>
  <si>
    <t>DETALLE DE LAS VARIACIONES PATRIMONIALES (2)</t>
  </si>
  <si>
    <t>TOTAL VARIACION PATRIMONIAL</t>
  </si>
  <si>
    <t xml:space="preserve"> </t>
  </si>
  <si>
    <t>VIGILADO SUPERSALUD</t>
  </si>
  <si>
    <t>(cifras en pesos)</t>
  </si>
  <si>
    <t>Bienes</t>
  </si>
  <si>
    <t>REVISOR FISCAL</t>
  </si>
  <si>
    <t>EVER SANCHEZ FIGUEROA</t>
  </si>
  <si>
    <t>CONTADOR</t>
  </si>
  <si>
    <t>T.P. 134809-T</t>
  </si>
  <si>
    <t xml:space="preserve">INCREMENTOS                                        </t>
  </si>
  <si>
    <t xml:space="preserve">DISMINUCIONES:                                     </t>
  </si>
  <si>
    <t xml:space="preserve">PARTIDAS SIN MOVIMIENTO                     </t>
  </si>
  <si>
    <t>CUENTAS DE ORDEN ACREEDORA</t>
  </si>
  <si>
    <t>CUENTAS DE ORDEN DEUDORA</t>
  </si>
  <si>
    <t>OTROS INGRESOS (Ingresos no operacionales)</t>
  </si>
  <si>
    <t>MINISTERIO DE LA PROTECCIÓN SOCIAL</t>
  </si>
  <si>
    <t>NIT. 890,205,335-2</t>
  </si>
  <si>
    <t>INDICE DE LIQUIDEZ:</t>
  </si>
  <si>
    <t>ACTIVOS CORRIENTES</t>
  </si>
  <si>
    <t>PASIVOS CORRIENTES</t>
  </si>
  <si>
    <t>PRUEBA ACIDA:</t>
  </si>
  <si>
    <t>ACTIVOS CORRIENTES - INVENTARIOS</t>
  </si>
  <si>
    <t>PRUEBA ALTA LIQUIDEZ:</t>
  </si>
  <si>
    <t>ACTIVOS CTE - (CTA COBRAR E INVENT)</t>
  </si>
  <si>
    <t xml:space="preserve">CAPITAL DE TRABAJO: </t>
  </si>
  <si>
    <t>ACTIVOS CTES - PASIVOS CTES</t>
  </si>
  <si>
    <t>INDICES DE ACTIVIDAD</t>
  </si>
  <si>
    <t>INGRESOS PRESTACION DE SERVICIOS</t>
  </si>
  <si>
    <t>CUENTAS POR COBRAR</t>
  </si>
  <si>
    <t>INDICE DE SOLVENCIA</t>
  </si>
  <si>
    <t>Razón de Endeudamiento Total</t>
  </si>
  <si>
    <t>TOTAL PASIVOS</t>
  </si>
  <si>
    <t>ACTIVO TOTAL</t>
  </si>
  <si>
    <t>Razón de Patrimonio</t>
  </si>
  <si>
    <t>PATRIMONIO TOTAL</t>
  </si>
  <si>
    <t>INDICE DE RENDIMIENTO</t>
  </si>
  <si>
    <t>Indice de Rentabilidad</t>
  </si>
  <si>
    <t>EXCEDENTE NETO EJERCICIO</t>
  </si>
  <si>
    <t>TOTAL DE ACTIVOS</t>
  </si>
  <si>
    <t>Control de Ingresos vs. Gastos Totales</t>
  </si>
  <si>
    <t>INGRESOS TOTALES</t>
  </si>
  <si>
    <t>GASTOS Y COSTOS TOTALES</t>
  </si>
  <si>
    <t>AUTONOMIA FINANCIERA SECTOR CENTRAL</t>
  </si>
  <si>
    <t>INGRESOS RECIBIDOS DE LA NACION</t>
  </si>
  <si>
    <t>MARGEN EBITDA</t>
  </si>
  <si>
    <t>EBITDA</t>
  </si>
  <si>
    <t>VENTAS</t>
  </si>
  <si>
    <t>PRODUCTIVIDAD DEL KTNO</t>
  </si>
  <si>
    <t>KTNO</t>
  </si>
  <si>
    <t>ESTADO DE FLUJO DE EFECTIVO</t>
  </si>
  <si>
    <t>BIENES DE USO PUBLICO HISTORIO Y CULT</t>
  </si>
  <si>
    <t>Bienes Historicos y Culturales</t>
  </si>
  <si>
    <t>Retención en la fuente e impuesto de timbre</t>
  </si>
  <si>
    <t>Bienes de uso publico historico y cultural</t>
  </si>
  <si>
    <t>Superavit por Valorizacion</t>
  </si>
  <si>
    <t>Aumento en bienes de uso publico historico y cultural</t>
  </si>
  <si>
    <t xml:space="preserve">En representacion de la firma </t>
  </si>
  <si>
    <t>Leones Asociados S.A.S</t>
  </si>
  <si>
    <t>Ver Opinion Adjunta</t>
  </si>
  <si>
    <t>Diciemb. 31/14</t>
  </si>
  <si>
    <t>Provision para contingencias</t>
  </si>
  <si>
    <t>Deudas de dificil recaudo</t>
  </si>
  <si>
    <t>Creditos Judiciales</t>
  </si>
  <si>
    <t>Provision para Contingencias</t>
  </si>
  <si>
    <t>SALDO DEL PATRIMONIO A DICIEMBRE 31 DE 2014</t>
  </si>
  <si>
    <t>DICIEMBRE 31 de 2014</t>
  </si>
  <si>
    <t>REPRESENTANTE LEGAL ( E )</t>
  </si>
  <si>
    <t>2,854,592,238 - 553,759,646</t>
  </si>
  <si>
    <t>DIEGO FERNANDO MANCILLA LEON</t>
  </si>
  <si>
    <t>T.P. 153902-T</t>
  </si>
  <si>
    <t>DEL 01 DE ENERO AL 31 DE DICIEMBRE DE 2015</t>
  </si>
  <si>
    <t>Diciembre 31/15</t>
  </si>
  <si>
    <t>A DICIEMBRE 31 DE 2015</t>
  </si>
  <si>
    <t>VARIACIONES PATRIMONIALES DURANTE EL 2015</t>
  </si>
  <si>
    <t>SALDO DEL PATRIMONIO A DICIEMBRE 31 DE 2015</t>
  </si>
  <si>
    <t>DICIEMBRE 31 de 2015</t>
  </si>
  <si>
    <t>INDICADORES FINANCIEROS A 31 DE DICIEMBRE DE 2015</t>
  </si>
  <si>
    <t>2,528,410,326 - 534,813,678</t>
  </si>
  <si>
    <t>MIRIAN ROCIO CARREÑO GUTIERREZ</t>
  </si>
  <si>
    <t>ORIGINAL FIRMADO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</si>
</sst>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.00;[Red]&quot;$&quot;\ \-#,##0.00"/>
    <numFmt numFmtId="165" formatCode="_ * #,##0_ ;_ * \-#,##0_ ;_ * &quot;-&quot;_ ;_ @_ "/>
    <numFmt numFmtId="166" formatCode="_ * #,##0.00_ ;_ * \-#,##0.00_ ;_ * &quot;-&quot;??_ ;_ @_ "/>
    <numFmt numFmtId="167" formatCode="_(&quot;C$&quot;* #,##0_);_(&quot;C$&quot;* \(#,##0\);_(&quot;C$&quot;* &quot;-&quot;_);_(@_)"/>
    <numFmt numFmtId="168" formatCode="_(&quot;C$&quot;* #,##0.00_);_(&quot;C$&quot;* \(#,##0.00\);_(&quot;C$&quot;* &quot;-&quot;??_);_(@_)"/>
    <numFmt numFmtId="169" formatCode="_(* #,##0_);_(* \(#,##0\);_(* &quot;-&quot;??_);_(@_)"/>
    <numFmt numFmtId="170" formatCode="_(* #,##0.0000_);_(* \(#,##0.0000\);_(* &quot;-&quot;_);_(@_)"/>
    <numFmt numFmtId="171" formatCode="_(* #,##0.000000_);_(* \(#,##0.000000\);_(* &quot;-&quot;_);_(@_)"/>
    <numFmt numFmtId="172" formatCode="_-* #,##0_-;\-* #,##0_-;_-* &quot;-&quot;??_-;_-@_-"/>
    <numFmt numFmtId="173" formatCode="_-* #,##0_-;\-* #,##0_-;_-* &quot;-&quot;_-;_-@_-"/>
    <numFmt numFmtId="174" formatCode="_ * #,##0_ ;_ * \-#,##0_ ;_ * &quot;-&quot;??_ ;_ @_ "/>
    <numFmt numFmtId="175" formatCode="_ &quot;$&quot;\ * #,##0_ ;_ &quot;$&quot;\ * \-#,##0_ ;_ &quot;$&quot;\ * &quot;-&quot;??_ ;_ @_ "/>
    <numFmt numFmtId="176" formatCode="_ * #,##0.0000_ ;_ * \-#,##0.0000_ ;_ * &quot;-&quot;??_ ;_ @_ "/>
    <numFmt numFmtId="177" formatCode="###,"/>
    <numFmt numFmtId="178" formatCode="_(* #,##0.0_);_(* \(#,##0.0\);_(* &quot;-&quot;??_);_(@_)"/>
    <numFmt numFmtId="179" formatCode="0_);\(0\)"/>
    <numFmt numFmtId="180" formatCode="#,##0.0_);[Red]\(#,##0.0\)"/>
    <numFmt numFmtId="181" formatCode="#0"/>
    <numFmt numFmtId="182" formatCode="#,##0.00;[Red]#,##0.00"/>
    <numFmt numFmtId="183" formatCode="#,##0.0;[Red]#,##0.0"/>
    <numFmt numFmtId="184" formatCode="#,##0;[Red]#,##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9"/>
      <name val="Bookman Old Style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name val="Century Gothic"/>
      <family val="2"/>
    </font>
    <font>
      <b/>
      <i/>
      <sz val="10"/>
      <name val="Century Gothic"/>
      <family val="2"/>
    </font>
    <font>
      <b/>
      <sz val="10"/>
      <color indexed="8"/>
      <name val="Century Gothic"/>
      <family val="2"/>
    </font>
    <font>
      <sz val="10"/>
      <name val="Century Gothic"/>
      <family val="2"/>
    </font>
    <font>
      <u val="single"/>
      <sz val="10"/>
      <name val="Century Gothic"/>
      <family val="2"/>
    </font>
    <font>
      <b/>
      <sz val="9"/>
      <name val="Century Gothic"/>
      <family val="2"/>
    </font>
    <font>
      <i/>
      <sz val="8"/>
      <name val="Century Gothic"/>
      <family val="2"/>
    </font>
    <font>
      <sz val="8"/>
      <name val="Tahoma"/>
      <family val="2"/>
    </font>
    <font>
      <sz val="8"/>
      <name val="Century Gothic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9" fontId="0" fillId="0" borderId="0" xfId="48" applyNumberFormat="1" applyFont="1" applyAlignment="1">
      <alignment/>
    </xf>
    <xf numFmtId="0" fontId="6" fillId="0" borderId="0" xfId="0" applyFont="1" applyAlignment="1">
      <alignment/>
    </xf>
    <xf numFmtId="169" fontId="0" fillId="0" borderId="0" xfId="48" applyNumberFormat="1" applyFont="1" applyBorder="1" applyAlignment="1">
      <alignment/>
    </xf>
    <xf numFmtId="169" fontId="6" fillId="0" borderId="0" xfId="48" applyNumberFormat="1" applyFont="1" applyAlignment="1">
      <alignment/>
    </xf>
    <xf numFmtId="169" fontId="0" fillId="0" borderId="0" xfId="48" applyNumberFormat="1" applyFont="1" applyAlignment="1">
      <alignment horizontal="centerContinuous"/>
    </xf>
    <xf numFmtId="0" fontId="1" fillId="0" borderId="0" xfId="0" applyFont="1" applyAlignment="1">
      <alignment/>
    </xf>
    <xf numFmtId="169" fontId="0" fillId="0" borderId="0" xfId="48" applyNumberFormat="1" applyFont="1" applyAlignment="1">
      <alignment/>
    </xf>
    <xf numFmtId="169" fontId="1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41" fontId="6" fillId="0" borderId="0" xfId="48" applyNumberFormat="1" applyFont="1" applyAlignment="1">
      <alignment/>
    </xf>
    <xf numFmtId="0" fontId="6" fillId="0" borderId="0" xfId="0" applyFont="1" applyAlignment="1">
      <alignment horizontal="center"/>
    </xf>
    <xf numFmtId="41" fontId="6" fillId="0" borderId="0" xfId="0" applyNumberFormat="1" applyFont="1" applyAlignment="1">
      <alignment/>
    </xf>
    <xf numFmtId="41" fontId="6" fillId="0" borderId="0" xfId="48" applyNumberFormat="1" applyFont="1" applyBorder="1" applyAlignment="1">
      <alignment/>
    </xf>
    <xf numFmtId="41" fontId="6" fillId="0" borderId="11" xfId="48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1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169" fontId="5" fillId="0" borderId="0" xfId="48" applyNumberFormat="1" applyFont="1" applyAlignment="1">
      <alignment/>
    </xf>
    <xf numFmtId="169" fontId="6" fillId="0" borderId="0" xfId="48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5" fontId="0" fillId="0" borderId="0" xfId="0" applyNumberFormat="1" applyFont="1" applyAlignment="1">
      <alignment/>
    </xf>
    <xf numFmtId="15" fontId="1" fillId="0" borderId="0" xfId="48" applyNumberFormat="1" applyFont="1" applyAlignment="1">
      <alignment horizontal="center"/>
    </xf>
    <xf numFmtId="41" fontId="1" fillId="0" borderId="0" xfId="0" applyNumberFormat="1" applyFont="1" applyAlignment="1">
      <alignment/>
    </xf>
    <xf numFmtId="0" fontId="7" fillId="0" borderId="0" xfId="0" applyFont="1" applyAlignment="1">
      <alignment/>
    </xf>
    <xf numFmtId="15" fontId="0" fillId="0" borderId="0" xfId="48" applyNumberFormat="1" applyFont="1" applyAlignment="1">
      <alignment horizontal="center"/>
    </xf>
    <xf numFmtId="169" fontId="0" fillId="0" borderId="0" xfId="48" applyNumberFormat="1" applyFont="1" applyAlignment="1">
      <alignment/>
    </xf>
    <xf numFmtId="169" fontId="0" fillId="0" borderId="11" xfId="48" applyNumberFormat="1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5" fontId="4" fillId="0" borderId="0" xfId="48" applyNumberFormat="1" applyFont="1" applyAlignment="1">
      <alignment horizontal="centerContinuous"/>
    </xf>
    <xf numFmtId="169" fontId="1" fillId="0" borderId="11" xfId="48" applyNumberFormat="1" applyFont="1" applyBorder="1" applyAlignment="1">
      <alignment/>
    </xf>
    <xf numFmtId="169" fontId="0" fillId="0" borderId="0" xfId="48" applyNumberFormat="1" applyFont="1" applyBorder="1" applyAlignment="1">
      <alignment/>
    </xf>
    <xf numFmtId="169" fontId="0" fillId="0" borderId="0" xfId="48" applyNumberFormat="1" applyFont="1" applyAlignment="1">
      <alignment/>
    </xf>
    <xf numFmtId="169" fontId="1" fillId="0" borderId="0" xfId="0" applyNumberFormat="1" applyFont="1" applyAlignment="1">
      <alignment/>
    </xf>
    <xf numFmtId="41" fontId="1" fillId="0" borderId="12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41" fontId="6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centerContinuous"/>
    </xf>
    <xf numFmtId="41" fontId="5" fillId="0" borderId="0" xfId="0" applyNumberFormat="1" applyFont="1" applyAlignment="1">
      <alignment/>
    </xf>
    <xf numFmtId="43" fontId="6" fillId="0" borderId="0" xfId="48" applyFont="1" applyAlignment="1">
      <alignment/>
    </xf>
    <xf numFmtId="10" fontId="6" fillId="0" borderId="0" xfId="56" applyNumberFormat="1" applyFont="1" applyAlignment="1">
      <alignment/>
    </xf>
    <xf numFmtId="41" fontId="6" fillId="0" borderId="11" xfId="0" applyNumberFormat="1" applyFont="1" applyBorder="1" applyAlignment="1">
      <alignment/>
    </xf>
    <xf numFmtId="10" fontId="6" fillId="0" borderId="11" xfId="56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1" fontId="6" fillId="0" borderId="13" xfId="48" applyNumberFormat="1" applyFont="1" applyBorder="1" applyAlignment="1">
      <alignment/>
    </xf>
    <xf numFmtId="4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>
      <alignment/>
    </xf>
    <xf numFmtId="170" fontId="6" fillId="0" borderId="0" xfId="48" applyNumberFormat="1" applyFont="1" applyBorder="1" applyAlignment="1">
      <alignment/>
    </xf>
    <xf numFmtId="9" fontId="6" fillId="0" borderId="0" xfId="56" applyFont="1" applyBorder="1" applyAlignment="1">
      <alignment/>
    </xf>
    <xf numFmtId="9" fontId="6" fillId="0" borderId="0" xfId="56" applyFont="1" applyAlignment="1">
      <alignment/>
    </xf>
    <xf numFmtId="43" fontId="6" fillId="0" borderId="0" xfId="48" applyFont="1" applyBorder="1" applyAlignment="1">
      <alignment/>
    </xf>
    <xf numFmtId="171" fontId="6" fillId="0" borderId="0" xfId="48" applyNumberFormat="1" applyFont="1" applyAlignment="1">
      <alignment/>
    </xf>
    <xf numFmtId="0" fontId="6" fillId="0" borderId="0" xfId="0" applyFont="1" applyBorder="1" applyAlignment="1">
      <alignment horizontal="centerContinuous"/>
    </xf>
    <xf numFmtId="15" fontId="6" fillId="0" borderId="0" xfId="0" applyNumberFormat="1" applyFont="1" applyBorder="1" applyAlignment="1">
      <alignment horizontal="centerContinuous"/>
    </xf>
    <xf numFmtId="15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41" fontId="5" fillId="0" borderId="13" xfId="48" applyNumberFormat="1" applyFont="1" applyBorder="1" applyAlignment="1">
      <alignment/>
    </xf>
    <xf numFmtId="10" fontId="5" fillId="0" borderId="13" xfId="56" applyNumberFormat="1" applyFont="1" applyBorder="1" applyAlignment="1">
      <alignment/>
    </xf>
    <xf numFmtId="43" fontId="5" fillId="0" borderId="0" xfId="48" applyFont="1" applyAlignment="1">
      <alignment/>
    </xf>
    <xf numFmtId="41" fontId="5" fillId="0" borderId="10" xfId="48" applyNumberFormat="1" applyFont="1" applyBorder="1" applyAlignment="1">
      <alignment/>
    </xf>
    <xf numFmtId="43" fontId="5" fillId="0" borderId="0" xfId="0" applyNumberFormat="1" applyFont="1" applyAlignment="1">
      <alignment/>
    </xf>
    <xf numFmtId="41" fontId="5" fillId="0" borderId="10" xfId="0" applyNumberFormat="1" applyFont="1" applyBorder="1" applyAlignment="1">
      <alignment/>
    </xf>
    <xf numFmtId="41" fontId="5" fillId="0" borderId="11" xfId="48" applyNumberFormat="1" applyFont="1" applyBorder="1" applyAlignment="1">
      <alignment/>
    </xf>
    <xf numFmtId="41" fontId="5" fillId="0" borderId="11" xfId="0" applyNumberFormat="1" applyFont="1" applyBorder="1" applyAlignment="1">
      <alignment/>
    </xf>
    <xf numFmtId="10" fontId="5" fillId="0" borderId="11" xfId="56" applyNumberFormat="1" applyFont="1" applyBorder="1" applyAlignment="1">
      <alignment/>
    </xf>
    <xf numFmtId="169" fontId="1" fillId="0" borderId="0" xfId="48" applyNumberFormat="1" applyFont="1" applyAlignment="1">
      <alignment/>
    </xf>
    <xf numFmtId="0" fontId="8" fillId="0" borderId="0" xfId="0" applyFont="1" applyAlignment="1">
      <alignment horizontal="left"/>
    </xf>
    <xf numFmtId="169" fontId="1" fillId="0" borderId="12" xfId="48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1" fontId="5" fillId="0" borderId="0" xfId="48" applyNumberFormat="1" applyFont="1" applyAlignment="1">
      <alignment/>
    </xf>
    <xf numFmtId="41" fontId="5" fillId="0" borderId="0" xfId="0" applyNumberFormat="1" applyFont="1" applyAlignment="1">
      <alignment/>
    </xf>
    <xf numFmtId="10" fontId="5" fillId="0" borderId="0" xfId="56" applyNumberFormat="1" applyFont="1" applyAlignment="1">
      <alignment/>
    </xf>
    <xf numFmtId="41" fontId="5" fillId="0" borderId="0" xfId="48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10" fontId="5" fillId="0" borderId="10" xfId="56" applyNumberFormat="1" applyFont="1" applyBorder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1" fontId="6" fillId="0" borderId="11" xfId="48" applyNumberFormat="1" applyFont="1" applyFill="1" applyBorder="1" applyAlignment="1">
      <alignment/>
    </xf>
    <xf numFmtId="43" fontId="6" fillId="0" borderId="0" xfId="48" applyFont="1" applyFill="1" applyAlignment="1">
      <alignment/>
    </xf>
    <xf numFmtId="41" fontId="6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0" fontId="6" fillId="0" borderId="11" xfId="56" applyNumberFormat="1" applyFont="1" applyFill="1" applyBorder="1" applyAlignment="1">
      <alignment/>
    </xf>
    <xf numFmtId="41" fontId="6" fillId="0" borderId="0" xfId="48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165" fontId="1" fillId="0" borderId="15" xfId="48" applyNumberFormat="1" applyFont="1" applyBorder="1" applyAlignment="1">
      <alignment/>
    </xf>
    <xf numFmtId="0" fontId="1" fillId="0" borderId="16" xfId="0" applyFont="1" applyBorder="1" applyAlignment="1">
      <alignment/>
    </xf>
    <xf numFmtId="165" fontId="1" fillId="0" borderId="17" xfId="48" applyNumberFormat="1" applyFont="1" applyBorder="1" applyAlignment="1">
      <alignment/>
    </xf>
    <xf numFmtId="0" fontId="1" fillId="0" borderId="18" xfId="0" applyFont="1" applyBorder="1" applyAlignment="1">
      <alignment/>
    </xf>
    <xf numFmtId="165" fontId="0" fillId="0" borderId="0" xfId="0" applyNumberFormat="1" applyAlignment="1">
      <alignment/>
    </xf>
    <xf numFmtId="172" fontId="14" fillId="0" borderId="0" xfId="48" applyNumberFormat="1" applyFont="1" applyAlignment="1">
      <alignment/>
    </xf>
    <xf numFmtId="165" fontId="1" fillId="0" borderId="14" xfId="0" applyNumberFormat="1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/>
    </xf>
    <xf numFmtId="165" fontId="16" fillId="0" borderId="14" xfId="49" applyNumberFormat="1" applyFont="1" applyBorder="1" applyAlignment="1">
      <alignment horizontal="left"/>
    </xf>
    <xf numFmtId="173" fontId="0" fillId="0" borderId="0" xfId="0" applyNumberForma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65" fontId="16" fillId="0" borderId="0" xfId="49" applyNumberFormat="1" applyFont="1" applyBorder="1" applyAlignment="1">
      <alignment horizontal="center"/>
    </xf>
    <xf numFmtId="165" fontId="9" fillId="0" borderId="14" xfId="49" applyNumberFormat="1" applyFont="1" applyBorder="1" applyAlignment="1">
      <alignment horizontal="center"/>
    </xf>
    <xf numFmtId="165" fontId="16" fillId="0" borderId="0" xfId="49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 shrinkToFit="1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164" fontId="17" fillId="0" borderId="0" xfId="48" applyNumberFormat="1" applyFont="1" applyBorder="1" applyAlignment="1">
      <alignment horizontal="center" vertical="center" wrapText="1"/>
    </xf>
    <xf numFmtId="174" fontId="20" fillId="0" borderId="19" xfId="48" applyNumberFormat="1" applyFont="1" applyBorder="1" applyAlignment="1">
      <alignment/>
    </xf>
    <xf numFmtId="164" fontId="17" fillId="0" borderId="0" xfId="48" applyNumberFormat="1" applyFont="1" applyAlignment="1">
      <alignment horizontal="center" vertical="center" wrapText="1"/>
    </xf>
    <xf numFmtId="166" fontId="17" fillId="0" borderId="0" xfId="48" applyNumberFormat="1" applyFont="1" applyBorder="1" applyAlignment="1">
      <alignment horizontal="center" vertical="center" wrapText="1"/>
    </xf>
    <xf numFmtId="174" fontId="20" fillId="0" borderId="16" xfId="48" applyNumberFormat="1" applyFont="1" applyBorder="1" applyAlignment="1">
      <alignment/>
    </xf>
    <xf numFmtId="166" fontId="17" fillId="0" borderId="17" xfId="48" applyNumberFormat="1" applyFont="1" applyBorder="1" applyAlignment="1">
      <alignment horizontal="center" vertical="center" wrapText="1"/>
    </xf>
    <xf numFmtId="166" fontId="17" fillId="0" borderId="0" xfId="48" applyNumberFormat="1" applyFont="1" applyAlignment="1">
      <alignment horizontal="center" vertical="center" wrapText="1"/>
    </xf>
    <xf numFmtId="174" fontId="20" fillId="0" borderId="0" xfId="48" applyNumberFormat="1" applyFont="1" applyBorder="1" applyAlignment="1">
      <alignment/>
    </xf>
    <xf numFmtId="43" fontId="20" fillId="0" borderId="16" xfId="48" applyFont="1" applyBorder="1" applyAlignment="1">
      <alignment/>
    </xf>
    <xf numFmtId="174" fontId="20" fillId="0" borderId="0" xfId="48" applyNumberFormat="1" applyFont="1" applyAlignment="1">
      <alignment/>
    </xf>
    <xf numFmtId="0" fontId="18" fillId="0" borderId="0" xfId="0" applyFont="1" applyAlignment="1">
      <alignment/>
    </xf>
    <xf numFmtId="174" fontId="20" fillId="0" borderId="19" xfId="48" applyNumberFormat="1" applyFont="1" applyFill="1" applyBorder="1" applyAlignment="1">
      <alignment/>
    </xf>
    <xf numFmtId="174" fontId="17" fillId="0" borderId="0" xfId="48" applyNumberFormat="1" applyFont="1" applyBorder="1" applyAlignment="1">
      <alignment/>
    </xf>
    <xf numFmtId="175" fontId="22" fillId="0" borderId="17" xfId="52" applyNumberFormat="1" applyFont="1" applyBorder="1" applyAlignment="1">
      <alignment/>
    </xf>
    <xf numFmtId="174" fontId="17" fillId="0" borderId="0" xfId="48" applyNumberFormat="1" applyFont="1" applyAlignment="1">
      <alignment/>
    </xf>
    <xf numFmtId="175" fontId="17" fillId="0" borderId="17" xfId="52" applyNumberFormat="1" applyFont="1" applyBorder="1" applyAlignment="1">
      <alignment/>
    </xf>
    <xf numFmtId="166" fontId="20" fillId="0" borderId="0" xfId="48" applyNumberFormat="1" applyFont="1" applyBorder="1" applyAlignment="1">
      <alignment/>
    </xf>
    <xf numFmtId="166" fontId="20" fillId="0" borderId="0" xfId="48" applyNumberFormat="1" applyFont="1" applyAlignment="1">
      <alignment/>
    </xf>
    <xf numFmtId="0" fontId="21" fillId="0" borderId="0" xfId="0" applyFont="1" applyAlignment="1">
      <alignment/>
    </xf>
    <xf numFmtId="43" fontId="17" fillId="0" borderId="0" xfId="48" applyFont="1" applyBorder="1" applyAlignment="1">
      <alignment horizontal="center" vertical="center"/>
    </xf>
    <xf numFmtId="43" fontId="17" fillId="0" borderId="0" xfId="48" applyFont="1" applyAlignment="1">
      <alignment horizontal="center" vertical="center"/>
    </xf>
    <xf numFmtId="174" fontId="17" fillId="0" borderId="0" xfId="48" applyNumberFormat="1" applyFont="1" applyBorder="1" applyAlignment="1">
      <alignment horizontal="center" vertical="center"/>
    </xf>
    <xf numFmtId="174" fontId="17" fillId="0" borderId="17" xfId="48" applyNumberFormat="1" applyFont="1" applyBorder="1" applyAlignment="1">
      <alignment horizontal="center" vertical="center"/>
    </xf>
    <xf numFmtId="174" fontId="17" fillId="0" borderId="0" xfId="48" applyNumberFormat="1" applyFont="1" applyAlignment="1">
      <alignment horizontal="center" vertical="center"/>
    </xf>
    <xf numFmtId="166" fontId="17" fillId="0" borderId="17" xfId="48" applyNumberFormat="1" applyFont="1" applyBorder="1" applyAlignment="1">
      <alignment horizontal="center" vertical="center"/>
    </xf>
    <xf numFmtId="10" fontId="17" fillId="0" borderId="0" xfId="48" applyNumberFormat="1" applyFont="1" applyBorder="1" applyAlignment="1">
      <alignment horizontal="center" vertical="center"/>
    </xf>
    <xf numFmtId="10" fontId="17" fillId="0" borderId="0" xfId="48" applyNumberFormat="1" applyFont="1" applyAlignment="1">
      <alignment horizontal="center" vertical="center"/>
    </xf>
    <xf numFmtId="166" fontId="17" fillId="0" borderId="0" xfId="48" applyNumberFormat="1" applyFont="1" applyBorder="1" applyAlignment="1">
      <alignment horizontal="center" vertical="center"/>
    </xf>
    <xf numFmtId="166" fontId="17" fillId="0" borderId="0" xfId="48" applyNumberFormat="1" applyFont="1" applyAlignment="1">
      <alignment horizontal="center" vertical="center"/>
    </xf>
    <xf numFmtId="176" fontId="20" fillId="0" borderId="0" xfId="48" applyNumberFormat="1" applyFont="1" applyBorder="1" applyAlignment="1">
      <alignment/>
    </xf>
    <xf numFmtId="176" fontId="20" fillId="0" borderId="0" xfId="48" applyNumberFormat="1" applyFont="1" applyAlignment="1">
      <alignment/>
    </xf>
    <xf numFmtId="0" fontId="17" fillId="0" borderId="0" xfId="0" applyFont="1" applyAlignment="1">
      <alignment vertical="center" wrapText="1"/>
    </xf>
    <xf numFmtId="0" fontId="20" fillId="0" borderId="12" xfId="0" applyFont="1" applyBorder="1" applyAlignment="1">
      <alignment/>
    </xf>
    <xf numFmtId="174" fontId="20" fillId="0" borderId="20" xfId="48" applyNumberFormat="1" applyFont="1" applyBorder="1" applyAlignment="1">
      <alignment/>
    </xf>
    <xf numFmtId="0" fontId="20" fillId="0" borderId="21" xfId="0" applyFont="1" applyBorder="1" applyAlignment="1">
      <alignment/>
    </xf>
    <xf numFmtId="174" fontId="20" fillId="0" borderId="17" xfId="48" applyNumberFormat="1" applyFont="1" applyBorder="1" applyAlignment="1">
      <alignment/>
    </xf>
    <xf numFmtId="176" fontId="20" fillId="0" borderId="17" xfId="48" applyNumberFormat="1" applyFont="1" applyBorder="1" applyAlignment="1">
      <alignment/>
    </xf>
    <xf numFmtId="174" fontId="20" fillId="0" borderId="17" xfId="0" applyNumberFormat="1" applyFont="1" applyBorder="1" applyAlignment="1">
      <alignment/>
    </xf>
    <xf numFmtId="174" fontId="20" fillId="0" borderId="21" xfId="48" applyNumberFormat="1" applyFont="1" applyBorder="1" applyAlignment="1">
      <alignment/>
    </xf>
    <xf numFmtId="17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5" fontId="5" fillId="0" borderId="0" xfId="0" applyNumberFormat="1" applyFont="1" applyAlignment="1">
      <alignment horizontal="center"/>
    </xf>
    <xf numFmtId="41" fontId="5" fillId="0" borderId="0" xfId="48" applyNumberFormat="1" applyFont="1" applyFill="1" applyAlignment="1">
      <alignment/>
    </xf>
    <xf numFmtId="41" fontId="6" fillId="0" borderId="0" xfId="48" applyNumberFormat="1" applyFont="1" applyFill="1" applyAlignment="1">
      <alignment/>
    </xf>
    <xf numFmtId="41" fontId="5" fillId="0" borderId="10" xfId="48" applyNumberFormat="1" applyFont="1" applyFill="1" applyBorder="1" applyAlignment="1">
      <alignment/>
    </xf>
    <xf numFmtId="41" fontId="5" fillId="0" borderId="11" xfId="48" applyNumberFormat="1" applyFont="1" applyFill="1" applyBorder="1" applyAlignment="1">
      <alignment/>
    </xf>
    <xf numFmtId="169" fontId="6" fillId="0" borderId="0" xfId="48" applyNumberFormat="1" applyFont="1" applyFill="1" applyAlignment="1">
      <alignment/>
    </xf>
    <xf numFmtId="15" fontId="5" fillId="0" borderId="0" xfId="0" applyNumberFormat="1" applyFont="1" applyFill="1" applyAlignment="1">
      <alignment horizontal="centerContinuous"/>
    </xf>
    <xf numFmtId="169" fontId="5" fillId="0" borderId="0" xfId="48" applyNumberFormat="1" applyFont="1" applyFill="1" applyAlignment="1">
      <alignment/>
    </xf>
    <xf numFmtId="165" fontId="1" fillId="0" borderId="15" xfId="50" applyNumberFormat="1" applyFont="1" applyBorder="1" applyAlignment="1">
      <alignment/>
    </xf>
    <xf numFmtId="165" fontId="1" fillId="0" borderId="15" xfId="48" applyNumberFormat="1" applyFont="1" applyFill="1" applyBorder="1" applyAlignment="1">
      <alignment/>
    </xf>
    <xf numFmtId="169" fontId="1" fillId="0" borderId="0" xfId="0" applyNumberFormat="1" applyFont="1" applyAlignment="1">
      <alignment/>
    </xf>
    <xf numFmtId="41" fontId="0" fillId="0" borderId="0" xfId="0" applyNumberFormat="1" applyAlignment="1">
      <alignment/>
    </xf>
    <xf numFmtId="3" fontId="0" fillId="0" borderId="0" xfId="48" applyNumberFormat="1" applyFont="1" applyAlignment="1">
      <alignment horizontal="centerContinuous"/>
    </xf>
    <xf numFmtId="3" fontId="1" fillId="0" borderId="0" xfId="48" applyNumberFormat="1" applyFont="1" applyAlignment="1">
      <alignment horizontal="center"/>
    </xf>
    <xf numFmtId="3" fontId="1" fillId="0" borderId="0" xfId="48" applyNumberFormat="1" applyFont="1" applyAlignment="1">
      <alignment/>
    </xf>
    <xf numFmtId="3" fontId="0" fillId="0" borderId="0" xfId="48" applyNumberFormat="1" applyFont="1" applyAlignment="1">
      <alignment/>
    </xf>
    <xf numFmtId="3" fontId="0" fillId="0" borderId="11" xfId="48" applyNumberFormat="1" applyFont="1" applyBorder="1" applyAlignment="1">
      <alignment/>
    </xf>
    <xf numFmtId="3" fontId="0" fillId="0" borderId="0" xfId="48" applyNumberFormat="1" applyFont="1" applyBorder="1" applyAlignment="1">
      <alignment/>
    </xf>
    <xf numFmtId="3" fontId="1" fillId="0" borderId="0" xfId="48" applyNumberFormat="1" applyFont="1" applyBorder="1" applyAlignment="1">
      <alignment/>
    </xf>
    <xf numFmtId="3" fontId="1" fillId="0" borderId="11" xfId="48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" fillId="0" borderId="10" xfId="48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1" fontId="5" fillId="0" borderId="0" xfId="48" applyNumberFormat="1" applyFont="1" applyAlignment="1">
      <alignment/>
    </xf>
    <xf numFmtId="41" fontId="5" fillId="0" borderId="0" xfId="48" applyNumberFormat="1" applyFont="1" applyFill="1" applyAlignment="1">
      <alignment/>
    </xf>
    <xf numFmtId="41" fontId="5" fillId="0" borderId="0" xfId="48" applyNumberFormat="1" applyFont="1" applyBorder="1" applyAlignment="1">
      <alignment/>
    </xf>
    <xf numFmtId="0" fontId="5" fillId="0" borderId="0" xfId="0" applyFont="1" applyBorder="1" applyAlignment="1">
      <alignment/>
    </xf>
    <xf numFmtId="41" fontId="5" fillId="0" borderId="0" xfId="0" applyNumberFormat="1" applyFont="1" applyBorder="1" applyAlignment="1">
      <alignment/>
    </xf>
    <xf numFmtId="169" fontId="5" fillId="0" borderId="0" xfId="48" applyNumberFormat="1" applyFont="1" applyAlignment="1">
      <alignment/>
    </xf>
    <xf numFmtId="43" fontId="5" fillId="0" borderId="0" xfId="48" applyFont="1" applyAlignment="1">
      <alignment/>
    </xf>
    <xf numFmtId="169" fontId="5" fillId="0" borderId="0" xfId="48" applyNumberFormat="1" applyFont="1" applyFill="1" applyAlignment="1">
      <alignment/>
    </xf>
    <xf numFmtId="41" fontId="66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1" fontId="5" fillId="0" borderId="0" xfId="48" applyNumberFormat="1" applyFont="1" applyFill="1" applyBorder="1" applyAlignment="1">
      <alignment/>
    </xf>
    <xf numFmtId="15" fontId="5" fillId="0" borderId="0" xfId="0" applyNumberFormat="1" applyFont="1" applyFill="1" applyAlignment="1">
      <alignment horizontal="center"/>
    </xf>
    <xf numFmtId="43" fontId="6" fillId="0" borderId="0" xfId="48" applyFont="1" applyFill="1" applyAlignment="1">
      <alignment horizontal="center"/>
    </xf>
    <xf numFmtId="0" fontId="5" fillId="0" borderId="0" xfId="0" applyFont="1" applyFill="1" applyAlignment="1">
      <alignment/>
    </xf>
    <xf numFmtId="43" fontId="5" fillId="0" borderId="0" xfId="48" applyFont="1" applyFill="1" applyAlignment="1">
      <alignment/>
    </xf>
    <xf numFmtId="10" fontId="5" fillId="0" borderId="0" xfId="56" applyNumberFormat="1" applyFont="1" applyFill="1" applyAlignment="1">
      <alignment/>
    </xf>
    <xf numFmtId="10" fontId="6" fillId="0" borderId="0" xfId="56" applyNumberFormat="1" applyFont="1" applyFill="1" applyBorder="1" applyAlignment="1">
      <alignment/>
    </xf>
    <xf numFmtId="43" fontId="6" fillId="0" borderId="0" xfId="48" applyFont="1" applyFill="1" applyBorder="1" applyAlignment="1">
      <alignment/>
    </xf>
    <xf numFmtId="41" fontId="5" fillId="0" borderId="0" xfId="48" applyNumberFormat="1" applyFont="1" applyFill="1" applyBorder="1" applyAlignment="1">
      <alignment/>
    </xf>
    <xf numFmtId="43" fontId="5" fillId="0" borderId="0" xfId="48" applyFont="1" applyFill="1" applyBorder="1" applyAlignment="1">
      <alignment/>
    </xf>
    <xf numFmtId="10" fontId="5" fillId="0" borderId="0" xfId="56" applyNumberFormat="1" applyFont="1" applyFill="1" applyBorder="1" applyAlignment="1">
      <alignment/>
    </xf>
    <xf numFmtId="10" fontId="6" fillId="0" borderId="0" xfId="56" applyNumberFormat="1" applyFont="1" applyFill="1" applyAlignment="1">
      <alignment/>
    </xf>
    <xf numFmtId="0" fontId="5" fillId="0" borderId="0" xfId="0" applyFont="1" applyFill="1" applyBorder="1" applyAlignment="1">
      <alignment/>
    </xf>
    <xf numFmtId="43" fontId="5" fillId="0" borderId="10" xfId="48" applyFont="1" applyFill="1" applyBorder="1" applyAlignment="1">
      <alignment/>
    </xf>
    <xf numFmtId="10" fontId="5" fillId="0" borderId="10" xfId="56" applyNumberFormat="1" applyFont="1" applyFill="1" applyBorder="1" applyAlignment="1">
      <alignment/>
    </xf>
    <xf numFmtId="43" fontId="5" fillId="0" borderId="11" xfId="48" applyFont="1" applyFill="1" applyBorder="1" applyAlignment="1">
      <alignment/>
    </xf>
    <xf numFmtId="10" fontId="5" fillId="0" borderId="11" xfId="56" applyNumberFormat="1" applyFont="1" applyFill="1" applyBorder="1" applyAlignment="1">
      <alignment/>
    </xf>
    <xf numFmtId="43" fontId="6" fillId="0" borderId="11" xfId="48" applyFont="1" applyFill="1" applyBorder="1" applyAlignment="1">
      <alignment/>
    </xf>
    <xf numFmtId="41" fontId="6" fillId="0" borderId="13" xfId="48" applyNumberFormat="1" applyFont="1" applyFill="1" applyBorder="1" applyAlignment="1">
      <alignment/>
    </xf>
    <xf numFmtId="43" fontId="5" fillId="0" borderId="13" xfId="48" applyFont="1" applyFill="1" applyBorder="1" applyAlignment="1">
      <alignment/>
    </xf>
    <xf numFmtId="10" fontId="5" fillId="0" borderId="13" xfId="56" applyNumberFormat="1" applyFont="1" applyFill="1" applyBorder="1" applyAlignment="1">
      <alignment/>
    </xf>
    <xf numFmtId="43" fontId="5" fillId="0" borderId="0" xfId="48" applyFont="1" applyFill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centerContinuous"/>
    </xf>
    <xf numFmtId="15" fontId="5" fillId="0" borderId="0" xfId="0" applyNumberFormat="1" applyFont="1" applyFill="1" applyAlignment="1">
      <alignment horizontal="center"/>
    </xf>
    <xf numFmtId="41" fontId="5" fillId="0" borderId="0" xfId="0" applyNumberFormat="1" applyFont="1" applyFill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11" xfId="0" applyNumberFormat="1" applyFont="1" applyFill="1" applyBorder="1" applyAlignment="1">
      <alignment/>
    </xf>
    <xf numFmtId="41" fontId="5" fillId="0" borderId="13" xfId="48" applyNumberFormat="1" applyFont="1" applyFill="1" applyBorder="1" applyAlignment="1">
      <alignment/>
    </xf>
    <xf numFmtId="41" fontId="5" fillId="0" borderId="13" xfId="0" applyNumberFormat="1" applyFont="1" applyFill="1" applyBorder="1" applyAlignment="1">
      <alignment/>
    </xf>
    <xf numFmtId="41" fontId="8" fillId="0" borderId="0" xfId="0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41" fontId="5" fillId="0" borderId="0" xfId="0" applyNumberFormat="1" applyFont="1" applyFill="1" applyAlignment="1">
      <alignment/>
    </xf>
    <xf numFmtId="10" fontId="5" fillId="0" borderId="0" xfId="56" applyNumberFormat="1" applyFont="1" applyFill="1" applyAlignment="1">
      <alignment/>
    </xf>
    <xf numFmtId="9" fontId="6" fillId="0" borderId="0" xfId="56" applyFont="1" applyFill="1" applyBorder="1" applyAlignment="1">
      <alignment/>
    </xf>
    <xf numFmtId="9" fontId="6" fillId="0" borderId="0" xfId="56" applyFont="1" applyFill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center" wrapText="1"/>
    </xf>
    <xf numFmtId="0" fontId="19" fillId="0" borderId="15" xfId="0" applyNumberFormat="1" applyFont="1" applyBorder="1" applyAlignment="1">
      <alignment horizontal="center" vertical="center" wrapText="1"/>
    </xf>
    <xf numFmtId="164" fontId="17" fillId="0" borderId="17" xfId="48" applyNumberFormat="1" applyFont="1" applyBorder="1" applyAlignment="1">
      <alignment horizontal="center" vertical="center" wrapText="1"/>
    </xf>
    <xf numFmtId="166" fontId="17" fillId="0" borderId="17" xfId="48" applyNumberFormat="1" applyFont="1" applyBorder="1" applyAlignment="1">
      <alignment horizontal="center" vertical="center" wrapText="1"/>
    </xf>
    <xf numFmtId="43" fontId="17" fillId="0" borderId="17" xfId="48" applyFont="1" applyBorder="1" applyAlignment="1">
      <alignment horizontal="center" vertical="center"/>
    </xf>
    <xf numFmtId="10" fontId="17" fillId="0" borderId="17" xfId="48" applyNumberFormat="1" applyFont="1" applyBorder="1" applyAlignment="1">
      <alignment horizontal="center" vertical="center"/>
    </xf>
    <xf numFmtId="166" fontId="17" fillId="0" borderId="17" xfId="48" applyNumberFormat="1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38100</xdr:rowOff>
    </xdr:from>
    <xdr:to>
      <xdr:col>0</xdr:col>
      <xdr:colOff>1028700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3810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247650</xdr:colOff>
      <xdr:row>1</xdr:row>
      <xdr:rowOff>9525</xdr:rowOff>
    </xdr:from>
    <xdr:to>
      <xdr:col>8</xdr:col>
      <xdr:colOff>561975</xdr:colOff>
      <xdr:row>3</xdr:row>
      <xdr:rowOff>38100</xdr:rowOff>
    </xdr:to>
    <xdr:pic>
      <xdr:nvPicPr>
        <xdr:cNvPr id="2" name="0 Imagen" descr="Descripción: Prosperidad CMYK recortad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209550"/>
          <a:ext cx="1390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57150</xdr:rowOff>
    </xdr:from>
    <xdr:to>
      <xdr:col>0</xdr:col>
      <xdr:colOff>904875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715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1</xdr:row>
      <xdr:rowOff>76200</xdr:rowOff>
    </xdr:from>
    <xdr:to>
      <xdr:col>8</xdr:col>
      <xdr:colOff>561975</xdr:colOff>
      <xdr:row>3</xdr:row>
      <xdr:rowOff>66675</xdr:rowOff>
    </xdr:to>
    <xdr:pic>
      <xdr:nvPicPr>
        <xdr:cNvPr id="2" name="0 Imagen" descr="Descripción: Prosperidad CMYK recortad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266700"/>
          <a:ext cx="1171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85725</xdr:rowOff>
    </xdr:from>
    <xdr:to>
      <xdr:col>1</xdr:col>
      <xdr:colOff>790575</xdr:colOff>
      <xdr:row>5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85725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</xdr:row>
      <xdr:rowOff>95250</xdr:rowOff>
    </xdr:from>
    <xdr:to>
      <xdr:col>9</xdr:col>
      <xdr:colOff>609600</xdr:colOff>
      <xdr:row>4</xdr:row>
      <xdr:rowOff>38100</xdr:rowOff>
    </xdr:to>
    <xdr:pic>
      <xdr:nvPicPr>
        <xdr:cNvPr id="2" name="0 Imagen" descr="Descripción: Prosperidad CMYK recortad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5717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66675</xdr:rowOff>
    </xdr:from>
    <xdr:to>
      <xdr:col>1</xdr:col>
      <xdr:colOff>723900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6675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1</xdr:row>
      <xdr:rowOff>76200</xdr:rowOff>
    </xdr:from>
    <xdr:to>
      <xdr:col>9</xdr:col>
      <xdr:colOff>419100</xdr:colOff>
      <xdr:row>4</xdr:row>
      <xdr:rowOff>19050</xdr:rowOff>
    </xdr:to>
    <xdr:pic>
      <xdr:nvPicPr>
        <xdr:cNvPr id="2" name="0 Imagen" descr="Descripción: Prosperidad CMYK recortad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238125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0</xdr:row>
      <xdr:rowOff>114300</xdr:rowOff>
    </xdr:from>
    <xdr:to>
      <xdr:col>2</xdr:col>
      <xdr:colOff>123825</xdr:colOff>
      <xdr:row>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1430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1</xdr:row>
      <xdr:rowOff>142875</xdr:rowOff>
    </xdr:from>
    <xdr:to>
      <xdr:col>8</xdr:col>
      <xdr:colOff>57150</xdr:colOff>
      <xdr:row>4</xdr:row>
      <xdr:rowOff>85725</xdr:rowOff>
    </xdr:to>
    <xdr:pic>
      <xdr:nvPicPr>
        <xdr:cNvPr id="2" name="0 Imagen" descr="Descripción: Prosperidad CMYK recortad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0480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152400</xdr:rowOff>
    </xdr:from>
    <xdr:to>
      <xdr:col>1</xdr:col>
      <xdr:colOff>942975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5240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561975</xdr:colOff>
      <xdr:row>1</xdr:row>
      <xdr:rowOff>123825</xdr:rowOff>
    </xdr:from>
    <xdr:to>
      <xdr:col>7</xdr:col>
      <xdr:colOff>0</xdr:colOff>
      <xdr:row>4</xdr:row>
      <xdr:rowOff>66675</xdr:rowOff>
    </xdr:to>
    <xdr:pic>
      <xdr:nvPicPr>
        <xdr:cNvPr id="2" name="0 Imagen" descr="Descripción: Prosperidad CMYK recortad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28575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1</xdr:row>
      <xdr:rowOff>9525</xdr:rowOff>
    </xdr:from>
    <xdr:to>
      <xdr:col>1</xdr:col>
      <xdr:colOff>1104900</xdr:colOff>
      <xdr:row>6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71450"/>
          <a:ext cx="7524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</xdr:row>
      <xdr:rowOff>38100</xdr:rowOff>
    </xdr:from>
    <xdr:to>
      <xdr:col>5</xdr:col>
      <xdr:colOff>1019175</xdr:colOff>
      <xdr:row>4</xdr:row>
      <xdr:rowOff>152400</xdr:rowOff>
    </xdr:to>
    <xdr:pic>
      <xdr:nvPicPr>
        <xdr:cNvPr id="2" name="0 Imagen" descr="Descripción: Prosperidad CMYK recortad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361950"/>
          <a:ext cx="1352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0</xdr:row>
      <xdr:rowOff>76200</xdr:rowOff>
    </xdr:from>
    <xdr:to>
      <xdr:col>0</xdr:col>
      <xdr:colOff>1447800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620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942975</xdr:colOff>
      <xdr:row>1</xdr:row>
      <xdr:rowOff>28575</xdr:rowOff>
    </xdr:from>
    <xdr:to>
      <xdr:col>6</xdr:col>
      <xdr:colOff>552450</xdr:colOff>
      <xdr:row>3</xdr:row>
      <xdr:rowOff>133350</xdr:rowOff>
    </xdr:to>
    <xdr:pic>
      <xdr:nvPicPr>
        <xdr:cNvPr id="2" name="0 Imagen" descr="Descripción: Prosperidad CMYK recortad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190500"/>
          <a:ext cx="13525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.S.E.s\SANATORIOCONTRACIONESE\SANATORIO%202012\INFORMES\CHIP%20Y%20BDME\3%20chip%20sep2012\E.F.%20SEP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.S.E.s\SANATORIOCONTRACIONESE\SANATORIO%202012\INFORMES\CHIP%20Y%20BDME\4%20CHIP%20DIC%202012\E.F.%20DIC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5"/>
      <sheetName val="Anexo 4"/>
      <sheetName val="Anexo 3"/>
      <sheetName val="Anexo 2"/>
      <sheetName val="Anexo 1"/>
      <sheetName val="INDICADORES"/>
      <sheetName val="III TRIMESTRE 2011"/>
    </sheetNames>
    <sheetDataSet>
      <sheetData sheetId="3">
        <row r="12">
          <cell r="I12">
            <v>682798525</v>
          </cell>
        </row>
        <row r="19">
          <cell r="D19">
            <v>1002782289</v>
          </cell>
        </row>
        <row r="24">
          <cell r="D24">
            <v>92354597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4"/>
      <sheetName val="ER"/>
      <sheetName val="ANEXO2"/>
      <sheetName val="BCE"/>
      <sheetName val="ECP"/>
      <sheetName val="ECSF"/>
      <sheetName val="EFE"/>
      <sheetName val="INDICADORES"/>
      <sheetName val="USOS"/>
      <sheetName val="Hoja1"/>
    </sheetNames>
    <sheetDataSet>
      <sheetData sheetId="1">
        <row r="44">
          <cell r="A44" t="str">
            <v>Resultado del Ejercicio</v>
          </cell>
        </row>
      </sheetData>
      <sheetData sheetId="3">
        <row r="14">
          <cell r="B14" t="str">
            <v>Inversiones</v>
          </cell>
        </row>
        <row r="15">
          <cell r="B15" t="str">
            <v>Deudores</v>
          </cell>
        </row>
        <row r="16">
          <cell r="B16" t="str">
            <v>Inventarios</v>
          </cell>
        </row>
        <row r="17">
          <cell r="B17" t="str">
            <v>Anticipos al Personal</v>
          </cell>
          <cell r="H17">
            <v>0</v>
          </cell>
        </row>
        <row r="18">
          <cell r="B18" t="str">
            <v>Otras Cuentas por Cobrar </v>
          </cell>
          <cell r="H18">
            <v>0</v>
          </cell>
        </row>
        <row r="19">
          <cell r="B19" t="str">
            <v>Provisión Cuetas por Cobrar </v>
          </cell>
        </row>
        <row r="20">
          <cell r="H20">
            <v>0</v>
          </cell>
        </row>
        <row r="23">
          <cell r="B23" t="str">
            <v>Propiedad Planta y Equipo</v>
          </cell>
        </row>
        <row r="41">
          <cell r="B41" t="str">
            <v>Cuentas por Pagar</v>
          </cell>
        </row>
        <row r="42">
          <cell r="B42" t="str">
            <v>Obligaciones laborales</v>
          </cell>
        </row>
        <row r="43">
          <cell r="B43" t="str">
            <v>Pasivos estimados</v>
          </cell>
        </row>
        <row r="44">
          <cell r="B44" t="str">
            <v>Otros pasivos</v>
          </cell>
        </row>
        <row r="48">
          <cell r="B48" t="str">
            <v>Obligaciones Laborales </v>
          </cell>
        </row>
        <row r="49">
          <cell r="B49" t="str">
            <v>Diferidos</v>
          </cell>
        </row>
        <row r="56">
          <cell r="B56" t="str">
            <v>Capital Social</v>
          </cell>
        </row>
        <row r="65">
          <cell r="B65" t="str">
            <v>Excedente o Pérdida de Ejercicios Anteriores</v>
          </cell>
        </row>
        <row r="67">
          <cell r="B67" t="str">
            <v>Patrimonio institucional incorporado</v>
          </cell>
        </row>
      </sheetData>
      <sheetData sheetId="5">
        <row r="15">
          <cell r="B15" t="str">
            <v>Revalorización del Patrimonio</v>
          </cell>
        </row>
        <row r="17">
          <cell r="B17" t="str">
            <v>Deudores</v>
          </cell>
          <cell r="D17">
            <v>0</v>
          </cell>
        </row>
        <row r="18">
          <cell r="B18" t="str">
            <v>Provisión Cuetas por Cobrar </v>
          </cell>
          <cell r="D18">
            <v>0</v>
          </cell>
        </row>
        <row r="19">
          <cell r="B19" t="str">
            <v>Otros Activos</v>
          </cell>
        </row>
      </sheetData>
      <sheetData sheetId="6"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4">
          <cell r="F34">
            <v>-624895474</v>
          </cell>
        </row>
        <row r="35">
          <cell r="F35">
            <v>-2619072</v>
          </cell>
        </row>
        <row r="36">
          <cell r="F36">
            <v>31021825</v>
          </cell>
        </row>
        <row r="37">
          <cell r="F37">
            <v>63788200</v>
          </cell>
        </row>
        <row r="42">
          <cell r="F42">
            <v>16478449</v>
          </cell>
        </row>
        <row r="43">
          <cell r="F43">
            <v>22571792</v>
          </cell>
        </row>
        <row r="44">
          <cell r="D44">
            <v>0</v>
          </cell>
        </row>
        <row r="45">
          <cell r="F45">
            <v>65447643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138680328</v>
          </cell>
        </row>
        <row r="49">
          <cell r="F49">
            <v>126811200</v>
          </cell>
        </row>
        <row r="53">
          <cell r="D53">
            <v>127400719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66">
      <selection activeCell="A71" sqref="A71"/>
    </sheetView>
  </sheetViews>
  <sheetFormatPr defaultColWidth="11.421875" defaultRowHeight="12.75"/>
  <cols>
    <col min="1" max="1" width="53.28125" style="5" bestFit="1" customWidth="1"/>
    <col min="2" max="2" width="8.28125" style="5" customWidth="1"/>
    <col min="3" max="3" width="14.421875" style="19" bestFit="1" customWidth="1"/>
    <col min="4" max="4" width="2.28125" style="5" customWidth="1"/>
    <col min="5" max="5" width="14.421875" style="106" bestFit="1" customWidth="1"/>
    <col min="6" max="6" width="1.28515625" style="98" customWidth="1"/>
    <col min="7" max="7" width="15.00390625" style="100" bestFit="1" customWidth="1"/>
    <col min="8" max="8" width="1.1484375" style="98" customWidth="1"/>
    <col min="9" max="9" width="14.140625" style="98" customWidth="1"/>
    <col min="10" max="10" width="12.00390625" style="19" customWidth="1"/>
    <col min="11" max="11" width="1.7109375" style="19" customWidth="1"/>
    <col min="12" max="12" width="12.00390625" style="5" customWidth="1"/>
    <col min="13" max="13" width="13.421875" style="5" bestFit="1" customWidth="1"/>
    <col min="14" max="16384" width="11.421875" style="5" customWidth="1"/>
  </cols>
  <sheetData>
    <row r="1" spans="1:9" ht="15.75">
      <c r="A1" s="251" t="s">
        <v>74</v>
      </c>
      <c r="B1" s="251"/>
      <c r="C1" s="251"/>
      <c r="D1" s="251"/>
      <c r="E1" s="251"/>
      <c r="F1" s="251"/>
      <c r="G1" s="251"/>
      <c r="H1" s="251"/>
      <c r="I1" s="251"/>
    </row>
    <row r="2" spans="1:12" ht="15.75">
      <c r="A2" s="251" t="s">
        <v>75</v>
      </c>
      <c r="B2" s="251"/>
      <c r="C2" s="251"/>
      <c r="D2" s="251"/>
      <c r="E2" s="251"/>
      <c r="F2" s="251"/>
      <c r="G2" s="251"/>
      <c r="H2" s="251"/>
      <c r="I2" s="251"/>
      <c r="J2" s="87"/>
      <c r="K2" s="87"/>
      <c r="L2" s="87"/>
    </row>
    <row r="3" spans="1:12" ht="15.75">
      <c r="A3" s="251" t="s">
        <v>76</v>
      </c>
      <c r="B3" s="251"/>
      <c r="C3" s="251"/>
      <c r="D3" s="251"/>
      <c r="E3" s="251"/>
      <c r="F3" s="251"/>
      <c r="G3" s="251"/>
      <c r="H3" s="251"/>
      <c r="I3" s="251"/>
      <c r="J3" s="49"/>
      <c r="K3" s="49"/>
      <c r="L3" s="16"/>
    </row>
    <row r="4" spans="1:12" s="12" customFormat="1" ht="15.75">
      <c r="A4" s="251" t="s">
        <v>252</v>
      </c>
      <c r="B4" s="251"/>
      <c r="C4" s="251"/>
      <c r="D4" s="251"/>
      <c r="E4" s="251"/>
      <c r="F4" s="251"/>
      <c r="G4" s="251"/>
      <c r="H4" s="251"/>
      <c r="I4" s="251"/>
      <c r="J4" s="51"/>
      <c r="K4" s="51"/>
      <c r="L4" s="50"/>
    </row>
    <row r="5" spans="1:12" s="12" customFormat="1" ht="12">
      <c r="A5" s="252" t="s">
        <v>77</v>
      </c>
      <c r="B5" s="252"/>
      <c r="C5" s="252"/>
      <c r="D5" s="252"/>
      <c r="E5" s="252"/>
      <c r="F5" s="252"/>
      <c r="G5" s="252"/>
      <c r="H5" s="252"/>
      <c r="I5" s="252"/>
      <c r="J5" s="51"/>
      <c r="K5" s="51"/>
      <c r="L5" s="50"/>
    </row>
    <row r="6" spans="1:12" s="12" customFormat="1" ht="12">
      <c r="A6" s="252" t="s">
        <v>78</v>
      </c>
      <c r="B6" s="252"/>
      <c r="C6" s="252"/>
      <c r="D6" s="252"/>
      <c r="E6" s="252"/>
      <c r="F6" s="252"/>
      <c r="G6" s="252"/>
      <c r="H6" s="252"/>
      <c r="I6" s="252"/>
      <c r="J6" s="51"/>
      <c r="K6" s="51"/>
      <c r="L6" s="50"/>
    </row>
    <row r="7" spans="2:3" ht="12">
      <c r="B7" s="50"/>
      <c r="C7" s="52"/>
    </row>
    <row r="8" spans="1:12" s="18" customFormat="1" ht="12">
      <c r="A8" s="25" t="s">
        <v>73</v>
      </c>
      <c r="C8" s="180" t="s">
        <v>253</v>
      </c>
      <c r="E8" s="215" t="s">
        <v>241</v>
      </c>
      <c r="F8" s="97"/>
      <c r="G8" s="253" t="s">
        <v>21</v>
      </c>
      <c r="H8" s="253"/>
      <c r="I8" s="253"/>
      <c r="J8" s="70"/>
      <c r="K8" s="70"/>
      <c r="L8" s="58"/>
    </row>
    <row r="9" spans="1:12" ht="12">
      <c r="A9" s="50"/>
      <c r="B9" s="25" t="s">
        <v>1</v>
      </c>
      <c r="C9" s="53"/>
      <c r="G9" s="216" t="s">
        <v>23</v>
      </c>
      <c r="I9" s="97" t="s">
        <v>24</v>
      </c>
      <c r="J9" s="22"/>
      <c r="K9" s="22"/>
      <c r="L9" s="58"/>
    </row>
    <row r="10" spans="2:12" ht="12">
      <c r="B10" s="18"/>
      <c r="C10" s="53"/>
      <c r="G10" s="216"/>
      <c r="I10" s="97"/>
      <c r="J10" s="22"/>
      <c r="K10" s="22"/>
      <c r="L10" s="58"/>
    </row>
    <row r="11" spans="2:12" ht="12">
      <c r="B11" s="18"/>
      <c r="J11" s="22"/>
      <c r="K11" s="22"/>
      <c r="L11" s="22"/>
    </row>
    <row r="12" spans="1:12" s="12" customFormat="1" ht="12">
      <c r="A12" s="12" t="s">
        <v>54</v>
      </c>
      <c r="B12" s="25"/>
      <c r="C12" s="88">
        <f>+C13+C15+C18+C20</f>
        <v>12453661263.130001</v>
      </c>
      <c r="D12" s="88"/>
      <c r="E12" s="181">
        <f>+E13+E15+E18+E20</f>
        <v>11912510959.5</v>
      </c>
      <c r="F12" s="217"/>
      <c r="G12" s="218">
        <f>+C12-E12</f>
        <v>541150303.6300011</v>
      </c>
      <c r="H12" s="217"/>
      <c r="I12" s="219">
        <f>IF(E12=0,1,(G12/C12))</f>
        <v>0.04345310926611736</v>
      </c>
      <c r="J12" s="91"/>
      <c r="K12" s="91"/>
      <c r="L12" s="92"/>
    </row>
    <row r="13" spans="1:12" s="12" customFormat="1" ht="12">
      <c r="A13" s="12" t="s">
        <v>79</v>
      </c>
      <c r="B13" s="25"/>
      <c r="C13" s="88">
        <f>+C14</f>
        <v>208986474.03</v>
      </c>
      <c r="D13" s="88"/>
      <c r="E13" s="181">
        <f>+E14</f>
        <v>302501562.92</v>
      </c>
      <c r="F13" s="217"/>
      <c r="G13" s="218">
        <f aca="true" t="shared" si="0" ref="G13:G67">+C13-E13</f>
        <v>-93515088.89000002</v>
      </c>
      <c r="H13" s="217"/>
      <c r="I13" s="219">
        <f aca="true" t="shared" si="1" ref="I13:I67">IF(E13=0,1,(G13/C13))</f>
        <v>-0.4474695758376015</v>
      </c>
      <c r="J13" s="91"/>
      <c r="K13" s="91"/>
      <c r="L13" s="92"/>
    </row>
    <row r="14" spans="1:12" ht="12">
      <c r="A14" s="5" t="s">
        <v>81</v>
      </c>
      <c r="B14" s="18"/>
      <c r="C14" s="182">
        <v>208986474.03</v>
      </c>
      <c r="E14" s="182">
        <v>302501562.92</v>
      </c>
      <c r="G14" s="100">
        <f t="shared" si="0"/>
        <v>-93515088.89000002</v>
      </c>
      <c r="I14" s="220">
        <f t="shared" si="1"/>
        <v>-0.4474695758376015</v>
      </c>
      <c r="J14" s="20"/>
      <c r="K14" s="20"/>
      <c r="L14" s="22"/>
    </row>
    <row r="15" spans="1:12" s="12" customFormat="1" ht="12">
      <c r="A15" s="12" t="s">
        <v>80</v>
      </c>
      <c r="B15" s="25"/>
      <c r="C15" s="88">
        <f>+C16+C17</f>
        <v>1048484528.1</v>
      </c>
      <c r="D15" s="88"/>
      <c r="E15" s="181">
        <f>+E16+E17</f>
        <v>955625562.58</v>
      </c>
      <c r="F15" s="217"/>
      <c r="G15" s="218">
        <f t="shared" si="0"/>
        <v>92858965.51999998</v>
      </c>
      <c r="H15" s="217"/>
      <c r="I15" s="219">
        <f t="shared" si="1"/>
        <v>0.08856493637371393</v>
      </c>
      <c r="J15" s="91"/>
      <c r="K15" s="91"/>
      <c r="L15" s="92"/>
    </row>
    <row r="16" spans="1:12" ht="12.75">
      <c r="A16" s="84" t="s">
        <v>86</v>
      </c>
      <c r="B16" s="18"/>
      <c r="C16" s="182">
        <v>1048746478.1</v>
      </c>
      <c r="E16" s="182">
        <v>956137812.58</v>
      </c>
      <c r="G16" s="100">
        <f t="shared" si="0"/>
        <v>92608665.51999998</v>
      </c>
      <c r="I16" s="220">
        <f t="shared" si="1"/>
        <v>0.08830414924279685</v>
      </c>
      <c r="J16" s="20"/>
      <c r="K16" s="20"/>
      <c r="L16" s="22"/>
    </row>
    <row r="17" spans="1:12" ht="12.75">
      <c r="A17" s="84" t="s">
        <v>87</v>
      </c>
      <c r="B17" s="18"/>
      <c r="C17" s="104">
        <v>-261950</v>
      </c>
      <c r="D17" s="57"/>
      <c r="E17" s="104">
        <v>-512250</v>
      </c>
      <c r="F17" s="102"/>
      <c r="G17" s="221">
        <f t="shared" si="0"/>
        <v>250300</v>
      </c>
      <c r="H17" s="102"/>
      <c r="I17" s="220">
        <f t="shared" si="1"/>
        <v>-0.9555258637144494</v>
      </c>
      <c r="J17" s="20"/>
      <c r="K17" s="20"/>
      <c r="L17" s="22"/>
    </row>
    <row r="18" spans="1:12" s="12" customFormat="1" ht="12.75">
      <c r="A18" s="85" t="s">
        <v>88</v>
      </c>
      <c r="B18" s="25"/>
      <c r="C18" s="91">
        <f>+C19</f>
        <v>0</v>
      </c>
      <c r="D18" s="91"/>
      <c r="E18" s="222">
        <f>+E19</f>
        <v>0</v>
      </c>
      <c r="F18" s="217"/>
      <c r="G18" s="223">
        <f t="shared" si="0"/>
        <v>0</v>
      </c>
      <c r="H18" s="217"/>
      <c r="I18" s="224">
        <f t="shared" si="1"/>
        <v>1</v>
      </c>
      <c r="J18" s="91"/>
      <c r="K18" s="91"/>
      <c r="L18" s="92"/>
    </row>
    <row r="19" spans="1:12" ht="12.75">
      <c r="A19" s="84" t="s">
        <v>89</v>
      </c>
      <c r="B19" s="18"/>
      <c r="C19" s="104"/>
      <c r="E19" s="104">
        <v>0</v>
      </c>
      <c r="G19" s="221">
        <f t="shared" si="0"/>
        <v>0</v>
      </c>
      <c r="I19" s="220">
        <f t="shared" si="1"/>
        <v>1</v>
      </c>
      <c r="J19" s="20"/>
      <c r="K19" s="20"/>
      <c r="L19" s="22"/>
    </row>
    <row r="20" spans="1:12" s="12" customFormat="1" ht="12">
      <c r="A20" s="12" t="s">
        <v>83</v>
      </c>
      <c r="B20" s="25"/>
      <c r="C20" s="91">
        <f>+C21+C22</f>
        <v>11196190261</v>
      </c>
      <c r="D20" s="91"/>
      <c r="E20" s="222">
        <f>+E21+E22</f>
        <v>10654383834</v>
      </c>
      <c r="F20" s="217"/>
      <c r="G20" s="223">
        <f t="shared" si="0"/>
        <v>541806427</v>
      </c>
      <c r="H20" s="217"/>
      <c r="I20" s="224">
        <f t="shared" si="1"/>
        <v>0.04839203464479246</v>
      </c>
      <c r="J20" s="91"/>
      <c r="K20" s="91"/>
      <c r="L20" s="92"/>
    </row>
    <row r="21" spans="1:12" ht="12">
      <c r="A21" s="5" t="s">
        <v>84</v>
      </c>
      <c r="B21" s="18"/>
      <c r="C21" s="104">
        <v>11196190261</v>
      </c>
      <c r="E21" s="104">
        <v>10654383834</v>
      </c>
      <c r="G21" s="221">
        <f t="shared" si="0"/>
        <v>541806427</v>
      </c>
      <c r="I21" s="220">
        <f t="shared" si="1"/>
        <v>0.04839203464479246</v>
      </c>
      <c r="J21" s="20"/>
      <c r="K21" s="20"/>
      <c r="L21" s="22"/>
    </row>
    <row r="22" spans="1:12" s="98" customFormat="1" ht="12">
      <c r="A22" s="98" t="s">
        <v>85</v>
      </c>
      <c r="B22" s="97"/>
      <c r="C22" s="104">
        <v>0</v>
      </c>
      <c r="E22" s="104">
        <v>0</v>
      </c>
      <c r="G22" s="221">
        <f t="shared" si="0"/>
        <v>0</v>
      </c>
      <c r="I22" s="220">
        <f t="shared" si="1"/>
        <v>1</v>
      </c>
      <c r="J22" s="104"/>
      <c r="K22" s="104"/>
      <c r="L22" s="105"/>
    </row>
    <row r="23" spans="1:12" s="12" customFormat="1" ht="12">
      <c r="A23" s="12" t="s">
        <v>55</v>
      </c>
      <c r="B23" s="25"/>
      <c r="C23" s="91">
        <f>+C24+C29</f>
        <v>12848360661.41</v>
      </c>
      <c r="D23" s="91"/>
      <c r="E23" s="222">
        <f>+E24+E29</f>
        <v>12290343884.4</v>
      </c>
      <c r="F23" s="217"/>
      <c r="G23" s="223">
        <f t="shared" si="0"/>
        <v>558016777.0100002</v>
      </c>
      <c r="H23" s="217"/>
      <c r="I23" s="224">
        <f t="shared" si="1"/>
        <v>0.04343097082307172</v>
      </c>
      <c r="J23" s="91"/>
      <c r="K23" s="91"/>
      <c r="L23" s="92"/>
    </row>
    <row r="24" spans="1:12" s="12" customFormat="1" ht="12">
      <c r="A24" s="12" t="s">
        <v>90</v>
      </c>
      <c r="B24" s="25"/>
      <c r="C24" s="88">
        <f>+C25+C27</f>
        <v>2881054797.0099998</v>
      </c>
      <c r="D24" s="88"/>
      <c r="E24" s="181">
        <f>+E25+E27</f>
        <v>2605741451.2400002</v>
      </c>
      <c r="F24" s="217"/>
      <c r="G24" s="218">
        <f t="shared" si="0"/>
        <v>275313345.7699995</v>
      </c>
      <c r="H24" s="217"/>
      <c r="I24" s="219">
        <f t="shared" si="1"/>
        <v>0.09555991300676532</v>
      </c>
      <c r="J24" s="91"/>
      <c r="K24" s="91"/>
      <c r="L24" s="92"/>
    </row>
    <row r="25" spans="1:12" s="12" customFormat="1" ht="12">
      <c r="A25" s="12" t="s">
        <v>91</v>
      </c>
      <c r="B25" s="25"/>
      <c r="C25" s="88">
        <f>+C26</f>
        <v>178839511.22</v>
      </c>
      <c r="D25" s="88"/>
      <c r="E25" s="181">
        <f>+E26</f>
        <v>191415058.84</v>
      </c>
      <c r="F25" s="217"/>
      <c r="G25" s="218">
        <f t="shared" si="0"/>
        <v>-12575547.620000005</v>
      </c>
      <c r="H25" s="217"/>
      <c r="I25" s="219">
        <f t="shared" si="1"/>
        <v>-0.07031750162037825</v>
      </c>
      <c r="J25" s="91"/>
      <c r="K25" s="91"/>
      <c r="L25" s="92"/>
    </row>
    <row r="26" spans="1:12" ht="12">
      <c r="A26" s="5" t="s">
        <v>81</v>
      </c>
      <c r="B26" s="18"/>
      <c r="C26" s="182">
        <v>178839511.22</v>
      </c>
      <c r="E26" s="182">
        <v>191415058.84</v>
      </c>
      <c r="G26" s="100">
        <f t="shared" si="0"/>
        <v>-12575547.620000005</v>
      </c>
      <c r="I26" s="220">
        <f t="shared" si="1"/>
        <v>-0.07031750162037825</v>
      </c>
      <c r="J26" s="20"/>
      <c r="K26" s="20"/>
      <c r="L26" s="22"/>
    </row>
    <row r="27" spans="1:12" s="12" customFormat="1" ht="12.75">
      <c r="A27" s="85" t="s">
        <v>92</v>
      </c>
      <c r="B27" s="25"/>
      <c r="C27" s="88">
        <f>+C28</f>
        <v>2702215285.79</v>
      </c>
      <c r="D27" s="88"/>
      <c r="E27" s="181">
        <f>+E28</f>
        <v>2414326392.4</v>
      </c>
      <c r="F27" s="217"/>
      <c r="G27" s="218">
        <f t="shared" si="0"/>
        <v>287888893.38999987</v>
      </c>
      <c r="H27" s="217"/>
      <c r="I27" s="219">
        <f t="shared" si="1"/>
        <v>0.10653810408959875</v>
      </c>
      <c r="J27" s="91"/>
      <c r="K27" s="91"/>
      <c r="L27" s="92"/>
    </row>
    <row r="28" spans="1:12" ht="12.75">
      <c r="A28" s="84" t="s">
        <v>82</v>
      </c>
      <c r="B28" s="18"/>
      <c r="C28" s="182">
        <v>2702215285.79</v>
      </c>
      <c r="E28" s="182">
        <v>2414326392.4</v>
      </c>
      <c r="G28" s="100">
        <f t="shared" si="0"/>
        <v>287888893.38999987</v>
      </c>
      <c r="I28" s="220">
        <f t="shared" si="1"/>
        <v>0.10653810408959875</v>
      </c>
      <c r="J28" s="20"/>
      <c r="K28" s="20"/>
      <c r="L28" s="22"/>
    </row>
    <row r="29" spans="1:12" s="12" customFormat="1" ht="12">
      <c r="A29" s="93" t="s">
        <v>93</v>
      </c>
      <c r="B29" s="25"/>
      <c r="C29" s="88">
        <f>+C30+C37+C42</f>
        <v>9967305864.4</v>
      </c>
      <c r="D29" s="88"/>
      <c r="E29" s="181">
        <f>+E30+E37+E42</f>
        <v>9684602433.16</v>
      </c>
      <c r="F29" s="217"/>
      <c r="G29" s="218">
        <f t="shared" si="0"/>
        <v>282703431.2399998</v>
      </c>
      <c r="H29" s="217"/>
      <c r="I29" s="219">
        <f t="shared" si="1"/>
        <v>0.02836307374189501</v>
      </c>
      <c r="J29" s="91"/>
      <c r="K29" s="91"/>
      <c r="L29" s="92"/>
    </row>
    <row r="30" spans="1:12" s="12" customFormat="1" ht="12">
      <c r="A30" s="12" t="s">
        <v>94</v>
      </c>
      <c r="B30" s="25"/>
      <c r="C30" s="88">
        <f>SUM(C31:C36)</f>
        <v>2395051190.3</v>
      </c>
      <c r="D30" s="88"/>
      <c r="E30" s="181">
        <f>SUM(E31:E36)</f>
        <v>2223612476.25</v>
      </c>
      <c r="F30" s="217"/>
      <c r="G30" s="218">
        <f t="shared" si="0"/>
        <v>171438714.0500002</v>
      </c>
      <c r="H30" s="217"/>
      <c r="I30" s="219">
        <f t="shared" si="1"/>
        <v>0.07158039658790176</v>
      </c>
      <c r="J30" s="91"/>
      <c r="K30" s="91"/>
      <c r="L30" s="92"/>
    </row>
    <row r="31" spans="1:12" ht="12.75">
      <c r="A31" s="84" t="s">
        <v>95</v>
      </c>
      <c r="B31" s="18"/>
      <c r="C31" s="182">
        <v>1593390429</v>
      </c>
      <c r="E31" s="182">
        <v>1463612167</v>
      </c>
      <c r="G31" s="100">
        <f t="shared" si="0"/>
        <v>129778262</v>
      </c>
      <c r="I31" s="225">
        <f t="shared" si="1"/>
        <v>0.08144787343893353</v>
      </c>
      <c r="J31" s="20"/>
      <c r="K31" s="20"/>
      <c r="L31" s="22"/>
    </row>
    <row r="32" spans="1:12" ht="12.75">
      <c r="A32" s="84" t="s">
        <v>96</v>
      </c>
      <c r="B32" s="18"/>
      <c r="C32" s="182">
        <v>23662928</v>
      </c>
      <c r="E32" s="182">
        <v>34391763</v>
      </c>
      <c r="G32" s="100">
        <f t="shared" si="0"/>
        <v>-10728835</v>
      </c>
      <c r="I32" s="225">
        <f t="shared" si="1"/>
        <v>-0.45340268118974963</v>
      </c>
      <c r="J32" s="20"/>
      <c r="K32" s="20"/>
      <c r="L32" s="22"/>
    </row>
    <row r="33" spans="1:12" ht="12.75">
      <c r="A33" s="84" t="s">
        <v>97</v>
      </c>
      <c r="B33" s="18"/>
      <c r="C33" s="182">
        <v>313662636</v>
      </c>
      <c r="E33" s="182">
        <v>295695791</v>
      </c>
      <c r="G33" s="100">
        <f t="shared" si="0"/>
        <v>17966845</v>
      </c>
      <c r="I33" s="225">
        <f t="shared" si="1"/>
        <v>0.057280794515799455</v>
      </c>
      <c r="J33" s="20"/>
      <c r="K33" s="20"/>
      <c r="L33" s="22"/>
    </row>
    <row r="34" spans="1:12" ht="12.75">
      <c r="A34" s="84" t="s">
        <v>98</v>
      </c>
      <c r="B34" s="18"/>
      <c r="C34" s="182">
        <v>66880572</v>
      </c>
      <c r="E34" s="182">
        <v>63151610</v>
      </c>
      <c r="G34" s="100">
        <f t="shared" si="0"/>
        <v>3728962</v>
      </c>
      <c r="I34" s="225">
        <f t="shared" si="1"/>
        <v>0.05575553390901023</v>
      </c>
      <c r="J34" s="20"/>
      <c r="K34" s="20"/>
      <c r="L34" s="22"/>
    </row>
    <row r="35" spans="1:12" ht="12.75">
      <c r="A35" s="84" t="s">
        <v>99</v>
      </c>
      <c r="B35" s="18"/>
      <c r="C35" s="182">
        <v>393706625.3</v>
      </c>
      <c r="E35" s="182">
        <v>362390200.25</v>
      </c>
      <c r="G35" s="100">
        <f t="shared" si="0"/>
        <v>31316425.050000012</v>
      </c>
      <c r="I35" s="225">
        <f t="shared" si="1"/>
        <v>0.07954254014937455</v>
      </c>
      <c r="J35" s="20"/>
      <c r="K35" s="20"/>
      <c r="L35" s="22"/>
    </row>
    <row r="36" spans="1:12" ht="12.75">
      <c r="A36" s="84" t="s">
        <v>100</v>
      </c>
      <c r="B36" s="18"/>
      <c r="C36" s="182">
        <v>3748000</v>
      </c>
      <c r="E36" s="182">
        <v>4370945</v>
      </c>
      <c r="G36" s="100">
        <f t="shared" si="0"/>
        <v>-622945</v>
      </c>
      <c r="I36" s="225">
        <f t="shared" si="1"/>
        <v>-0.166207310565635</v>
      </c>
      <c r="J36" s="20"/>
      <c r="K36" s="20"/>
      <c r="L36" s="22"/>
    </row>
    <row r="37" spans="1:12" s="12" customFormat="1" ht="12.75">
      <c r="A37" s="85" t="s">
        <v>101</v>
      </c>
      <c r="B37" s="25"/>
      <c r="C37" s="88">
        <f>SUM(C38:C41)</f>
        <v>54121294.07</v>
      </c>
      <c r="D37" s="88"/>
      <c r="E37" s="181">
        <f>SUM(E38:E41)</f>
        <v>402302000</v>
      </c>
      <c r="F37" s="217"/>
      <c r="G37" s="218">
        <f t="shared" si="0"/>
        <v>-348180705.93</v>
      </c>
      <c r="H37" s="217"/>
      <c r="I37" s="219">
        <f t="shared" si="1"/>
        <v>-6.4333403683893104</v>
      </c>
      <c r="J37" s="91"/>
      <c r="K37" s="91"/>
      <c r="L37" s="92"/>
    </row>
    <row r="38" spans="1:12" ht="12">
      <c r="A38" s="5" t="s">
        <v>102</v>
      </c>
      <c r="B38" s="18"/>
      <c r="C38" s="182">
        <v>20886378.91</v>
      </c>
      <c r="E38" s="182">
        <v>73780728.57</v>
      </c>
      <c r="G38" s="100">
        <f t="shared" si="0"/>
        <v>-52894349.66</v>
      </c>
      <c r="I38" s="225">
        <f t="shared" si="1"/>
        <v>-2.532480612743992</v>
      </c>
      <c r="J38" s="20"/>
      <c r="K38" s="20"/>
      <c r="L38" s="22"/>
    </row>
    <row r="39" spans="1:12" ht="12">
      <c r="A39" s="5" t="s">
        <v>242</v>
      </c>
      <c r="B39" s="18"/>
      <c r="C39" s="182">
        <v>0</v>
      </c>
      <c r="E39" s="182">
        <v>301172586</v>
      </c>
      <c r="G39" s="100">
        <f t="shared" si="0"/>
        <v>-301172586</v>
      </c>
      <c r="I39" s="225"/>
      <c r="J39" s="20"/>
      <c r="K39" s="20"/>
      <c r="L39" s="22"/>
    </row>
    <row r="40" spans="1:12" ht="12">
      <c r="A40" s="5" t="s">
        <v>103</v>
      </c>
      <c r="B40" s="18"/>
      <c r="C40" s="182">
        <v>33234915.16</v>
      </c>
      <c r="E40" s="182">
        <v>26811070.43</v>
      </c>
      <c r="G40" s="100">
        <f t="shared" si="0"/>
        <v>6423844.73</v>
      </c>
      <c r="I40" s="225">
        <f t="shared" si="1"/>
        <v>0.19328602763311523</v>
      </c>
      <c r="J40" s="20"/>
      <c r="K40" s="20"/>
      <c r="L40" s="22"/>
    </row>
    <row r="41" spans="1:12" ht="12">
      <c r="A41" s="5" t="s">
        <v>104</v>
      </c>
      <c r="B41" s="18"/>
      <c r="C41" s="182">
        <v>0</v>
      </c>
      <c r="E41" s="182">
        <v>537615</v>
      </c>
      <c r="G41" s="100">
        <f t="shared" si="0"/>
        <v>-537615</v>
      </c>
      <c r="I41" s="225"/>
      <c r="J41" s="20"/>
      <c r="K41" s="20"/>
      <c r="L41" s="22"/>
    </row>
    <row r="42" spans="1:12" s="12" customFormat="1" ht="12">
      <c r="A42" s="12" t="s">
        <v>105</v>
      </c>
      <c r="B42" s="25"/>
      <c r="C42" s="88">
        <f>+C43</f>
        <v>7518133380.03</v>
      </c>
      <c r="D42" s="88"/>
      <c r="E42" s="181">
        <f>+E43</f>
        <v>7058687956.91</v>
      </c>
      <c r="F42" s="217"/>
      <c r="G42" s="218">
        <f t="shared" si="0"/>
        <v>459445423.1199999</v>
      </c>
      <c r="H42" s="217"/>
      <c r="I42" s="219">
        <f t="shared" si="1"/>
        <v>0.061111635015733995</v>
      </c>
      <c r="J42" s="91"/>
      <c r="K42" s="91"/>
      <c r="L42" s="92"/>
    </row>
    <row r="43" spans="1:12" ht="12">
      <c r="A43" s="5" t="s">
        <v>106</v>
      </c>
      <c r="B43" s="18"/>
      <c r="C43" s="104">
        <v>7518133380.03</v>
      </c>
      <c r="D43" s="57"/>
      <c r="E43" s="104">
        <v>7058687956.91</v>
      </c>
      <c r="F43" s="102"/>
      <c r="G43" s="221">
        <f t="shared" si="0"/>
        <v>459445423.1199999</v>
      </c>
      <c r="H43" s="102"/>
      <c r="I43" s="220">
        <f t="shared" si="1"/>
        <v>0.061111635015733995</v>
      </c>
      <c r="J43" s="20"/>
      <c r="K43" s="20"/>
      <c r="L43" s="22"/>
    </row>
    <row r="44" spans="1:12" ht="12">
      <c r="A44" s="57"/>
      <c r="B44" s="58"/>
      <c r="C44" s="20"/>
      <c r="D44" s="57"/>
      <c r="E44" s="104"/>
      <c r="F44" s="102"/>
      <c r="G44" s="221">
        <f t="shared" si="0"/>
        <v>0</v>
      </c>
      <c r="H44" s="102"/>
      <c r="I44" s="102">
        <f t="shared" si="1"/>
        <v>1</v>
      </c>
      <c r="J44" s="20"/>
      <c r="K44" s="20"/>
      <c r="L44" s="22"/>
    </row>
    <row r="45" spans="1:12" s="12" customFormat="1" ht="12.75" thickBot="1">
      <c r="A45" s="94" t="s">
        <v>57</v>
      </c>
      <c r="B45" s="95"/>
      <c r="C45" s="75">
        <f>SUM(+C12-C23)</f>
        <v>-394699398.2799988</v>
      </c>
      <c r="D45" s="93"/>
      <c r="E45" s="183">
        <f>SUM(+E12-E23)</f>
        <v>-377832924.8999996</v>
      </c>
      <c r="F45" s="226"/>
      <c r="G45" s="227">
        <f t="shared" si="0"/>
        <v>-16866473.37999916</v>
      </c>
      <c r="H45" s="226"/>
      <c r="I45" s="228">
        <f t="shared" si="1"/>
        <v>0.04273245273111394</v>
      </c>
      <c r="J45" s="91"/>
      <c r="K45" s="91"/>
      <c r="L45" s="92"/>
    </row>
    <row r="46" spans="2:12" ht="12.75" thickTop="1">
      <c r="B46" s="18"/>
      <c r="C46" s="20"/>
      <c r="E46" s="104"/>
      <c r="G46" s="221">
        <f t="shared" si="0"/>
        <v>0</v>
      </c>
      <c r="I46" s="220">
        <f t="shared" si="1"/>
        <v>1</v>
      </c>
      <c r="J46" s="20"/>
      <c r="K46" s="20"/>
      <c r="L46" s="22"/>
    </row>
    <row r="47" spans="1:12" s="12" customFormat="1" ht="12">
      <c r="A47" s="12" t="s">
        <v>58</v>
      </c>
      <c r="B47" s="25"/>
      <c r="C47" s="88">
        <f>+C49-C54</f>
        <v>110333645.89</v>
      </c>
      <c r="D47" s="88"/>
      <c r="E47" s="181">
        <f>+E49-E54</f>
        <v>143636154.95999998</v>
      </c>
      <c r="F47" s="217"/>
      <c r="G47" s="218">
        <f t="shared" si="0"/>
        <v>-33302509.069999978</v>
      </c>
      <c r="H47" s="217"/>
      <c r="I47" s="219">
        <f t="shared" si="1"/>
        <v>-0.3018345745884422</v>
      </c>
      <c r="J47" s="91"/>
      <c r="K47" s="91"/>
      <c r="L47" s="92"/>
    </row>
    <row r="48" spans="1:12" ht="12">
      <c r="A48" s="12"/>
      <c r="B48" s="18"/>
      <c r="C48" s="17"/>
      <c r="E48" s="182"/>
      <c r="G48" s="100">
        <f t="shared" si="0"/>
        <v>0</v>
      </c>
      <c r="I48" s="225">
        <f t="shared" si="1"/>
        <v>1</v>
      </c>
      <c r="J48" s="20"/>
      <c r="K48" s="20"/>
      <c r="L48" s="22"/>
    </row>
    <row r="49" spans="1:12" s="12" customFormat="1" ht="12">
      <c r="A49" s="30" t="s">
        <v>196</v>
      </c>
      <c r="B49" s="25"/>
      <c r="C49" s="88">
        <f>SUM(C50:C53)</f>
        <v>127876510.05</v>
      </c>
      <c r="D49" s="88"/>
      <c r="E49" s="181">
        <f>SUM(E50:E53)</f>
        <v>171887580.17</v>
      </c>
      <c r="F49" s="217"/>
      <c r="G49" s="218">
        <f t="shared" si="0"/>
        <v>-44011070.11999999</v>
      </c>
      <c r="H49" s="217"/>
      <c r="I49" s="219">
        <f t="shared" si="1"/>
        <v>-0.3441685271422528</v>
      </c>
      <c r="J49" s="91"/>
      <c r="K49" s="91"/>
      <c r="L49" s="92"/>
    </row>
    <row r="50" spans="1:12" ht="12">
      <c r="A50" s="5" t="s">
        <v>107</v>
      </c>
      <c r="B50" s="18"/>
      <c r="C50" s="182">
        <v>100034761.64</v>
      </c>
      <c r="E50" s="182">
        <v>111067563.75</v>
      </c>
      <c r="G50" s="100">
        <f t="shared" si="0"/>
        <v>-11032802.11</v>
      </c>
      <c r="I50" s="225">
        <f t="shared" si="1"/>
        <v>-0.11028968259757828</v>
      </c>
      <c r="J50" s="20"/>
      <c r="K50" s="20"/>
      <c r="L50" s="22"/>
    </row>
    <row r="51" spans="1:12" ht="12">
      <c r="A51" s="5" t="s">
        <v>108</v>
      </c>
      <c r="B51" s="18"/>
      <c r="C51" s="182">
        <v>26464302.22</v>
      </c>
      <c r="E51" s="182">
        <v>50995989.91</v>
      </c>
      <c r="G51" s="100">
        <f t="shared" si="0"/>
        <v>-24531687.689999998</v>
      </c>
      <c r="I51" s="225">
        <f t="shared" si="1"/>
        <v>-0.9269727758573034</v>
      </c>
      <c r="J51" s="20"/>
      <c r="K51" s="20"/>
      <c r="L51" s="22"/>
    </row>
    <row r="52" spans="1:12" ht="12">
      <c r="A52" s="5" t="s">
        <v>109</v>
      </c>
      <c r="B52" s="18"/>
      <c r="C52" s="182">
        <v>1377356.19</v>
      </c>
      <c r="E52" s="182">
        <v>9824026.51</v>
      </c>
      <c r="G52" s="100">
        <f t="shared" si="0"/>
        <v>-8446670.32</v>
      </c>
      <c r="I52" s="225">
        <f t="shared" si="1"/>
        <v>-6.132524310940949</v>
      </c>
      <c r="J52" s="20"/>
      <c r="K52" s="20"/>
      <c r="L52" s="22"/>
    </row>
    <row r="53" spans="1:12" ht="12">
      <c r="A53" s="5" t="s">
        <v>110</v>
      </c>
      <c r="B53" s="18"/>
      <c r="C53" s="182">
        <v>90</v>
      </c>
      <c r="E53" s="182">
        <v>0</v>
      </c>
      <c r="G53" s="100">
        <f t="shared" si="0"/>
        <v>90</v>
      </c>
      <c r="I53" s="225">
        <f t="shared" si="1"/>
        <v>1</v>
      </c>
      <c r="J53" s="20"/>
      <c r="K53" s="20"/>
      <c r="L53" s="22"/>
    </row>
    <row r="54" spans="1:13" s="12" customFormat="1" ht="12">
      <c r="A54" s="12" t="s">
        <v>111</v>
      </c>
      <c r="B54" s="25"/>
      <c r="C54" s="91">
        <f>SUM(C55:C59)</f>
        <v>17542864.16</v>
      </c>
      <c r="D54" s="91"/>
      <c r="E54" s="222">
        <f>SUM(E55:E59)</f>
        <v>28251425.21</v>
      </c>
      <c r="F54" s="217"/>
      <c r="G54" s="223">
        <f t="shared" si="0"/>
        <v>-10708561.05</v>
      </c>
      <c r="H54" s="217"/>
      <c r="I54" s="224">
        <f t="shared" si="1"/>
        <v>-0.610422616987305</v>
      </c>
      <c r="J54" s="91"/>
      <c r="K54" s="91"/>
      <c r="L54" s="92"/>
      <c r="M54" s="93"/>
    </row>
    <row r="55" spans="1:13" ht="12">
      <c r="A55" s="5" t="s">
        <v>112</v>
      </c>
      <c r="B55" s="18"/>
      <c r="C55" s="104">
        <v>0</v>
      </c>
      <c r="E55" s="104">
        <v>193024</v>
      </c>
      <c r="G55" s="221">
        <f t="shared" si="0"/>
        <v>-193024</v>
      </c>
      <c r="I55" s="220"/>
      <c r="J55" s="20"/>
      <c r="K55" s="20"/>
      <c r="L55" s="22"/>
      <c r="M55" s="57"/>
    </row>
    <row r="56" spans="1:13" ht="12">
      <c r="A56" s="5" t="s">
        <v>113</v>
      </c>
      <c r="B56" s="18"/>
      <c r="C56" s="104">
        <v>754.94</v>
      </c>
      <c r="E56" s="104">
        <v>328036.21</v>
      </c>
      <c r="G56" s="221">
        <f t="shared" si="0"/>
        <v>-327281.27</v>
      </c>
      <c r="I56" s="220">
        <f t="shared" si="1"/>
        <v>-433.51957771478527</v>
      </c>
      <c r="J56" s="20"/>
      <c r="K56" s="20"/>
      <c r="L56" s="22"/>
      <c r="M56" s="57"/>
    </row>
    <row r="57" spans="1:13" ht="12">
      <c r="A57" s="5" t="s">
        <v>114</v>
      </c>
      <c r="B57" s="18"/>
      <c r="C57" s="104">
        <v>3885623.06</v>
      </c>
      <c r="E57" s="104">
        <v>27511719</v>
      </c>
      <c r="G57" s="221">
        <f t="shared" si="0"/>
        <v>-23626095.94</v>
      </c>
      <c r="I57" s="220">
        <f t="shared" si="1"/>
        <v>-6.080388029198077</v>
      </c>
      <c r="J57" s="20"/>
      <c r="K57" s="20"/>
      <c r="L57" s="22"/>
      <c r="M57" s="57"/>
    </row>
    <row r="58" spans="1:13" ht="12">
      <c r="A58" s="5" t="s">
        <v>109</v>
      </c>
      <c r="B58" s="18"/>
      <c r="C58" s="104">
        <v>249.8</v>
      </c>
      <c r="E58" s="104">
        <v>2269</v>
      </c>
      <c r="G58" s="221">
        <f t="shared" si="0"/>
        <v>-2019.2</v>
      </c>
      <c r="I58" s="220">
        <f t="shared" si="1"/>
        <v>-8.083266613290633</v>
      </c>
      <c r="J58" s="20"/>
      <c r="K58" s="20"/>
      <c r="L58" s="22"/>
      <c r="M58" s="57"/>
    </row>
    <row r="59" spans="1:13" ht="12">
      <c r="A59" s="5" t="s">
        <v>115</v>
      </c>
      <c r="B59" s="18"/>
      <c r="C59" s="104">
        <v>13656236.36</v>
      </c>
      <c r="E59" s="104">
        <v>216377</v>
      </c>
      <c r="G59" s="221">
        <f t="shared" si="0"/>
        <v>13439859.36</v>
      </c>
      <c r="I59" s="220">
        <f t="shared" si="1"/>
        <v>0.9841554441285315</v>
      </c>
      <c r="J59" s="20"/>
      <c r="K59" s="20"/>
      <c r="L59" s="22"/>
      <c r="M59" s="57"/>
    </row>
    <row r="60" spans="2:12" ht="12">
      <c r="B60" s="18"/>
      <c r="C60" s="17"/>
      <c r="E60" s="182"/>
      <c r="G60" s="100">
        <f t="shared" si="0"/>
        <v>0</v>
      </c>
      <c r="I60" s="98">
        <f t="shared" si="1"/>
        <v>1</v>
      </c>
      <c r="J60" s="20"/>
      <c r="K60" s="20"/>
      <c r="L60" s="22"/>
    </row>
    <row r="61" spans="1:12" s="12" customFormat="1" ht="12.75" thickBot="1">
      <c r="A61" s="94" t="s">
        <v>60</v>
      </c>
      <c r="B61" s="25"/>
      <c r="C61" s="75">
        <f>SUM(C47)</f>
        <v>110333645.89</v>
      </c>
      <c r="D61" s="91"/>
      <c r="E61" s="183">
        <f>SUM(E47)</f>
        <v>143636154.95999998</v>
      </c>
      <c r="F61" s="217"/>
      <c r="G61" s="227">
        <f t="shared" si="0"/>
        <v>-33302509.069999978</v>
      </c>
      <c r="H61" s="217"/>
      <c r="I61" s="228">
        <f t="shared" si="1"/>
        <v>-0.3018345745884422</v>
      </c>
      <c r="J61" s="91"/>
      <c r="K61" s="91"/>
      <c r="L61" s="92"/>
    </row>
    <row r="62" spans="2:12" ht="12.75" thickTop="1">
      <c r="B62" s="18"/>
      <c r="C62" s="20"/>
      <c r="E62" s="104"/>
      <c r="G62" s="100">
        <f t="shared" si="0"/>
        <v>0</v>
      </c>
      <c r="I62" s="98">
        <f t="shared" si="1"/>
        <v>1</v>
      </c>
      <c r="J62" s="20"/>
      <c r="K62" s="20"/>
      <c r="L62" s="22"/>
    </row>
    <row r="63" spans="1:12" s="12" customFormat="1" ht="12.75" thickBot="1">
      <c r="A63" s="12" t="s">
        <v>51</v>
      </c>
      <c r="B63" s="25"/>
      <c r="C63" s="78">
        <f>SUM(C45+C61)</f>
        <v>-284365752.3899988</v>
      </c>
      <c r="D63" s="91"/>
      <c r="E63" s="184">
        <f>SUM(E45+E61)</f>
        <v>-234196769.93999964</v>
      </c>
      <c r="F63" s="217"/>
      <c r="G63" s="229">
        <f t="shared" si="0"/>
        <v>-50168982.44999915</v>
      </c>
      <c r="H63" s="217"/>
      <c r="I63" s="230">
        <f t="shared" si="1"/>
        <v>0.17642413697270393</v>
      </c>
      <c r="J63" s="91"/>
      <c r="K63" s="91"/>
      <c r="L63" s="92"/>
    </row>
    <row r="64" spans="2:12" ht="12">
      <c r="B64" s="18"/>
      <c r="C64" s="20"/>
      <c r="E64" s="104"/>
      <c r="G64" s="100">
        <f t="shared" si="0"/>
        <v>0</v>
      </c>
      <c r="I64" s="98">
        <f t="shared" si="1"/>
        <v>1</v>
      </c>
      <c r="J64" s="20"/>
      <c r="K64" s="20"/>
      <c r="L64" s="22"/>
    </row>
    <row r="65" spans="1:12" ht="12.75" thickBot="1">
      <c r="A65" s="5" t="s">
        <v>61</v>
      </c>
      <c r="B65" s="18"/>
      <c r="C65" s="21">
        <v>0</v>
      </c>
      <c r="E65" s="99">
        <v>0</v>
      </c>
      <c r="G65" s="231">
        <f t="shared" si="0"/>
        <v>0</v>
      </c>
      <c r="I65" s="103">
        <f t="shared" si="1"/>
        <v>1</v>
      </c>
      <c r="J65" s="20"/>
      <c r="K65" s="20"/>
      <c r="L65" s="22"/>
    </row>
    <row r="66" spans="2:12" ht="12">
      <c r="B66" s="18"/>
      <c r="C66" s="17"/>
      <c r="E66" s="182"/>
      <c r="G66" s="100">
        <f t="shared" si="0"/>
        <v>0</v>
      </c>
      <c r="I66" s="98">
        <f t="shared" si="1"/>
        <v>1</v>
      </c>
      <c r="J66" s="20"/>
      <c r="K66" s="20"/>
      <c r="L66" s="22"/>
    </row>
    <row r="67" spans="1:12" ht="12.75" thickBot="1">
      <c r="A67" s="5" t="s">
        <v>62</v>
      </c>
      <c r="B67" s="18"/>
      <c r="C67" s="59">
        <f>SUM(C63+C65)</f>
        <v>-284365752.3899988</v>
      </c>
      <c r="E67" s="232">
        <f>SUM(E63+E65)</f>
        <v>-234196769.93999964</v>
      </c>
      <c r="G67" s="233">
        <f t="shared" si="0"/>
        <v>-50168982.44999915</v>
      </c>
      <c r="I67" s="234">
        <f t="shared" si="1"/>
        <v>0.17642413697270393</v>
      </c>
      <c r="J67" s="20"/>
      <c r="K67" s="20"/>
      <c r="L67" s="22"/>
    </row>
    <row r="68" spans="2:12" ht="12.75" thickTop="1">
      <c r="B68" s="18"/>
      <c r="C68" s="17"/>
      <c r="J68" s="22"/>
      <c r="K68" s="22"/>
      <c r="L68" s="22"/>
    </row>
    <row r="69" spans="2:3" ht="12">
      <c r="B69" s="18"/>
      <c r="C69" s="17"/>
    </row>
    <row r="70" spans="1:7" ht="12">
      <c r="A70" s="5" t="s">
        <v>261</v>
      </c>
      <c r="B70" s="12"/>
      <c r="C70" s="17"/>
      <c r="G70" s="100" t="str">
        <f>+A70</f>
        <v>ORIGINAL FIRMADO</v>
      </c>
    </row>
    <row r="71" spans="1:7" ht="12">
      <c r="A71" s="30" t="s">
        <v>260</v>
      </c>
      <c r="B71" s="12"/>
      <c r="C71" s="17"/>
      <c r="G71" s="235" t="s">
        <v>250</v>
      </c>
    </row>
    <row r="72" spans="1:7" ht="12">
      <c r="A72" s="30" t="s">
        <v>248</v>
      </c>
      <c r="B72" s="12"/>
      <c r="G72" s="218" t="s">
        <v>187</v>
      </c>
    </row>
    <row r="73" spans="1:12" ht="12">
      <c r="A73" s="82"/>
      <c r="C73" s="82"/>
      <c r="F73" s="236"/>
      <c r="G73" s="235" t="s">
        <v>251</v>
      </c>
      <c r="H73" s="237"/>
      <c r="I73" s="237"/>
      <c r="J73" s="29"/>
      <c r="K73" s="29"/>
      <c r="L73" s="16"/>
    </row>
    <row r="74" spans="1:12" ht="12">
      <c r="A74" s="82"/>
      <c r="C74" s="82"/>
      <c r="D74" s="16"/>
      <c r="F74" s="236"/>
      <c r="G74" s="100" t="s">
        <v>238</v>
      </c>
      <c r="H74" s="237"/>
      <c r="I74" s="237"/>
      <c r="J74" s="29"/>
      <c r="K74" s="29"/>
      <c r="L74" s="16"/>
    </row>
    <row r="75" spans="1:7" ht="12">
      <c r="A75" s="5" t="str">
        <f>+A70</f>
        <v>ORIGINAL FIRMADO</v>
      </c>
      <c r="G75" s="100" t="s">
        <v>239</v>
      </c>
    </row>
    <row r="76" spans="1:7" ht="12">
      <c r="A76" s="12" t="s">
        <v>188</v>
      </c>
      <c r="G76" s="100" t="s">
        <v>240</v>
      </c>
    </row>
    <row r="77" ht="12">
      <c r="A77" s="12" t="s">
        <v>189</v>
      </c>
    </row>
    <row r="78" ht="12">
      <c r="A78" s="12" t="s">
        <v>190</v>
      </c>
    </row>
  </sheetData>
  <sheetProtection/>
  <mergeCells count="7">
    <mergeCell ref="A4:I4"/>
    <mergeCell ref="A5:I5"/>
    <mergeCell ref="A6:I6"/>
    <mergeCell ref="G8:I8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scale="72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view="pageBreakPreview" zoomScale="60" zoomScalePageLayoutView="0" workbookViewId="0" topLeftCell="A1">
      <selection activeCell="G56" sqref="G56"/>
    </sheetView>
  </sheetViews>
  <sheetFormatPr defaultColWidth="11.421875" defaultRowHeight="12.75"/>
  <cols>
    <col min="1" max="1" width="35.00390625" style="5" bestFit="1" customWidth="1"/>
    <col min="2" max="2" width="8.28125" style="5" customWidth="1"/>
    <col min="3" max="3" width="14.421875" style="19" bestFit="1" customWidth="1"/>
    <col min="4" max="4" width="2.57421875" style="5" customWidth="1"/>
    <col min="5" max="5" width="14.421875" style="106" bestFit="1" customWidth="1"/>
    <col min="6" max="6" width="1.28515625" style="98" customWidth="1"/>
    <col min="7" max="7" width="14.421875" style="98" bestFit="1" customWidth="1"/>
    <col min="8" max="8" width="1.1484375" style="98" customWidth="1"/>
    <col min="9" max="9" width="9.140625" style="98" customWidth="1"/>
    <col min="10" max="10" width="12.00390625" style="19" customWidth="1"/>
    <col min="11" max="11" width="1.7109375" style="19" customWidth="1"/>
    <col min="12" max="12" width="12.00390625" style="5" customWidth="1"/>
    <col min="13" max="13" width="13.421875" style="5" bestFit="1" customWidth="1"/>
    <col min="14" max="16384" width="11.421875" style="5" customWidth="1"/>
  </cols>
  <sheetData>
    <row r="1" spans="1:9" ht="15">
      <c r="A1" s="254" t="s">
        <v>116</v>
      </c>
      <c r="B1" s="254"/>
      <c r="C1" s="254"/>
      <c r="D1" s="254"/>
      <c r="E1" s="254"/>
      <c r="F1" s="254"/>
      <c r="G1" s="254"/>
      <c r="H1" s="254"/>
      <c r="I1" s="254"/>
    </row>
    <row r="2" spans="1:9" ht="15">
      <c r="A2" s="254" t="str">
        <f>+ANEXO4!A2</f>
        <v>SANATORIO DE CONTRATACION ESE</v>
      </c>
      <c r="B2" s="254"/>
      <c r="C2" s="254"/>
      <c r="D2" s="254"/>
      <c r="E2" s="254"/>
      <c r="F2" s="254"/>
      <c r="G2" s="254"/>
      <c r="H2" s="254"/>
      <c r="I2" s="254"/>
    </row>
    <row r="3" spans="1:9" ht="15">
      <c r="A3" s="254" t="s">
        <v>76</v>
      </c>
      <c r="B3" s="254"/>
      <c r="C3" s="254"/>
      <c r="D3" s="254"/>
      <c r="E3" s="254"/>
      <c r="F3" s="254"/>
      <c r="G3" s="254"/>
      <c r="H3" s="254"/>
      <c r="I3" s="254"/>
    </row>
    <row r="4" spans="1:9" ht="15">
      <c r="A4" s="254" t="str">
        <f>+ANEXO4!A4</f>
        <v>DEL 01 DE ENERO AL 31 DE DICIEMBRE DE 2015</v>
      </c>
      <c r="B4" s="254"/>
      <c r="C4" s="254"/>
      <c r="D4" s="254"/>
      <c r="E4" s="254"/>
      <c r="F4" s="254"/>
      <c r="G4" s="254"/>
      <c r="H4" s="254"/>
      <c r="I4" s="254"/>
    </row>
    <row r="5" spans="1:9" ht="12">
      <c r="A5" s="252" t="s">
        <v>77</v>
      </c>
      <c r="B5" s="252"/>
      <c r="C5" s="252"/>
      <c r="D5" s="252"/>
      <c r="E5" s="252"/>
      <c r="F5" s="252"/>
      <c r="G5" s="252"/>
      <c r="H5" s="252"/>
      <c r="I5" s="252"/>
    </row>
    <row r="6" spans="1:9" ht="12">
      <c r="A6" s="252" t="s">
        <v>78</v>
      </c>
      <c r="B6" s="252"/>
      <c r="C6" s="252"/>
      <c r="D6" s="252"/>
      <c r="E6" s="252"/>
      <c r="F6" s="252"/>
      <c r="G6" s="252"/>
      <c r="H6" s="252"/>
      <c r="I6" s="252"/>
    </row>
    <row r="7" spans="2:3" ht="12">
      <c r="B7" s="50"/>
      <c r="C7" s="52"/>
    </row>
    <row r="8" spans="1:12" ht="12">
      <c r="A8" s="5" t="s">
        <v>73</v>
      </c>
      <c r="C8" s="26" t="str">
        <f>+ANEXO4!C8</f>
        <v>Diciembre 31/15</v>
      </c>
      <c r="E8" s="238" t="str">
        <f>+ANEXO4!E8</f>
        <v>Diciemb. 31/14</v>
      </c>
      <c r="G8" s="253" t="str">
        <f>+ANEXO4!G8</f>
        <v>VARIACION</v>
      </c>
      <c r="H8" s="253"/>
      <c r="I8" s="253"/>
      <c r="J8" s="70"/>
      <c r="K8" s="70"/>
      <c r="L8" s="68"/>
    </row>
    <row r="9" spans="1:12" ht="12">
      <c r="A9" s="50"/>
      <c r="B9" s="25" t="s">
        <v>1</v>
      </c>
      <c r="C9" s="53"/>
      <c r="G9" s="97" t="s">
        <v>23</v>
      </c>
      <c r="I9" s="97" t="s">
        <v>24</v>
      </c>
      <c r="J9" s="22"/>
      <c r="K9" s="22"/>
      <c r="L9" s="58"/>
    </row>
    <row r="10" spans="1:12" ht="12">
      <c r="A10" s="50" t="s">
        <v>53</v>
      </c>
      <c r="B10" s="18"/>
      <c r="C10" s="53"/>
      <c r="G10" s="97"/>
      <c r="I10" s="97"/>
      <c r="J10" s="22"/>
      <c r="K10" s="22"/>
      <c r="L10" s="58"/>
    </row>
    <row r="11" spans="2:12" ht="12">
      <c r="B11" s="18"/>
      <c r="J11" s="22"/>
      <c r="K11" s="22"/>
      <c r="L11" s="22"/>
    </row>
    <row r="12" spans="1:12" s="12" customFormat="1" ht="12">
      <c r="A12" s="12" t="s">
        <v>54</v>
      </c>
      <c r="B12" s="18">
        <f>+BCE!C72+1</f>
        <v>20</v>
      </c>
      <c r="C12" s="88">
        <f>+ANEXO4!C12</f>
        <v>12453661263.130001</v>
      </c>
      <c r="E12" s="181">
        <f>+ANEXO4!E12</f>
        <v>11912510959.5</v>
      </c>
      <c r="F12" s="217"/>
      <c r="G12" s="239">
        <f>+C12-E12</f>
        <v>541150303.6300011</v>
      </c>
      <c r="H12" s="217"/>
      <c r="I12" s="219">
        <f>IF(C12=0,1,(G12/C12))</f>
        <v>0.04345310926611736</v>
      </c>
      <c r="J12" s="91"/>
      <c r="K12" s="91"/>
      <c r="L12" s="92"/>
    </row>
    <row r="13" spans="2:12" ht="12">
      <c r="B13" s="18"/>
      <c r="C13" s="17"/>
      <c r="E13" s="182"/>
      <c r="I13" s="219"/>
      <c r="J13" s="20"/>
      <c r="K13" s="20"/>
      <c r="L13" s="22"/>
    </row>
    <row r="14" spans="2:12" ht="12" hidden="1">
      <c r="B14" s="18"/>
      <c r="C14" s="17">
        <v>0</v>
      </c>
      <c r="E14" s="182">
        <v>0</v>
      </c>
      <c r="I14" s="98">
        <f aca="true" t="shared" si="0" ref="I14:I44">IF(C14=0,1,(G14/C14))</f>
        <v>1</v>
      </c>
      <c r="J14" s="20"/>
      <c r="K14" s="20"/>
      <c r="L14" s="22"/>
    </row>
    <row r="15" spans="2:12" ht="12" hidden="1">
      <c r="B15" s="18"/>
      <c r="C15" s="17">
        <v>0</v>
      </c>
      <c r="E15" s="182">
        <v>0</v>
      </c>
      <c r="I15" s="98">
        <f t="shared" si="0"/>
        <v>1</v>
      </c>
      <c r="J15" s="20"/>
      <c r="K15" s="20"/>
      <c r="L15" s="22"/>
    </row>
    <row r="16" spans="2:12" ht="12.75" thickBot="1">
      <c r="B16" s="18"/>
      <c r="C16" s="21"/>
      <c r="E16" s="99"/>
      <c r="G16" s="101">
        <f aca="true" t="shared" si="1" ref="G16:G44">+C16-E16</f>
        <v>0</v>
      </c>
      <c r="I16" s="103"/>
      <c r="J16" s="20"/>
      <c r="K16" s="20"/>
      <c r="L16" s="22"/>
    </row>
    <row r="17" spans="2:12" ht="12">
      <c r="B17" s="18"/>
      <c r="C17" s="20"/>
      <c r="E17" s="104"/>
      <c r="G17" s="105">
        <f t="shared" si="1"/>
        <v>0</v>
      </c>
      <c r="I17" s="220"/>
      <c r="J17" s="20"/>
      <c r="K17" s="20"/>
      <c r="L17" s="22"/>
    </row>
    <row r="18" spans="2:12" ht="12">
      <c r="B18" s="18"/>
      <c r="C18" s="20"/>
      <c r="E18" s="104"/>
      <c r="G18" s="105">
        <f t="shared" si="1"/>
        <v>0</v>
      </c>
      <c r="I18" s="220"/>
      <c r="J18" s="20"/>
      <c r="K18" s="20"/>
      <c r="L18" s="22"/>
    </row>
    <row r="19" spans="1:12" s="12" customFormat="1" ht="12">
      <c r="A19" s="12" t="s">
        <v>55</v>
      </c>
      <c r="B19" s="25"/>
      <c r="C19" s="88">
        <f>SUM(C20:C26)</f>
        <v>12848360661.41</v>
      </c>
      <c r="D19" s="88"/>
      <c r="E19" s="181">
        <f>SUM(E20:E26)</f>
        <v>12290343884.4</v>
      </c>
      <c r="F19" s="217"/>
      <c r="G19" s="239">
        <f t="shared" si="1"/>
        <v>558016777.0100002</v>
      </c>
      <c r="H19" s="217"/>
      <c r="I19" s="219">
        <f t="shared" si="0"/>
        <v>0.04343097082307172</v>
      </c>
      <c r="J19" s="91"/>
      <c r="K19" s="91"/>
      <c r="L19" s="92"/>
    </row>
    <row r="20" spans="1:12" ht="12">
      <c r="A20" s="5" t="s">
        <v>65</v>
      </c>
      <c r="B20" s="18">
        <f>+B12+1</f>
        <v>21</v>
      </c>
      <c r="C20" s="17">
        <f>+ANEXO4!C24</f>
        <v>2881054797.0099998</v>
      </c>
      <c r="D20" s="17"/>
      <c r="E20" s="182">
        <f>+ANEXO4!E24</f>
        <v>2605741451.2400002</v>
      </c>
      <c r="G20" s="98">
        <f t="shared" si="1"/>
        <v>275313345.7699995</v>
      </c>
      <c r="I20" s="225">
        <f t="shared" si="0"/>
        <v>0.09555991300676532</v>
      </c>
      <c r="J20" s="20"/>
      <c r="K20" s="20"/>
      <c r="L20" s="22"/>
    </row>
    <row r="21" spans="1:12" ht="12">
      <c r="A21" s="5" t="s">
        <v>56</v>
      </c>
      <c r="B21" s="18">
        <f>+B20+1</f>
        <v>22</v>
      </c>
      <c r="C21" s="17">
        <f>+ANEXO4!C29</f>
        <v>9967305864.4</v>
      </c>
      <c r="D21" s="17"/>
      <c r="E21" s="182">
        <f>+ANEXO4!E29</f>
        <v>9684602433.16</v>
      </c>
      <c r="G21" s="106">
        <f t="shared" si="1"/>
        <v>282703431.2399998</v>
      </c>
      <c r="I21" s="225">
        <f t="shared" si="0"/>
        <v>0.02836307374189501</v>
      </c>
      <c r="J21" s="20"/>
      <c r="K21" s="20"/>
      <c r="L21" s="22"/>
    </row>
    <row r="22" spans="2:12" ht="12" hidden="1">
      <c r="B22" s="18"/>
      <c r="C22" s="17">
        <v>0</v>
      </c>
      <c r="E22" s="182">
        <v>0</v>
      </c>
      <c r="G22" s="106">
        <f t="shared" si="1"/>
        <v>0</v>
      </c>
      <c r="I22" s="225">
        <f t="shared" si="0"/>
        <v>1</v>
      </c>
      <c r="J22" s="20"/>
      <c r="K22" s="20"/>
      <c r="L22" s="22"/>
    </row>
    <row r="23" spans="2:12" ht="12" hidden="1">
      <c r="B23" s="18"/>
      <c r="C23" s="17">
        <v>0</v>
      </c>
      <c r="E23" s="182">
        <v>0</v>
      </c>
      <c r="G23" s="106">
        <f t="shared" si="1"/>
        <v>0</v>
      </c>
      <c r="I23" s="225">
        <f t="shared" si="0"/>
        <v>1</v>
      </c>
      <c r="J23" s="20"/>
      <c r="K23" s="20"/>
      <c r="L23" s="22"/>
    </row>
    <row r="24" spans="2:12" ht="12" hidden="1">
      <c r="B24" s="18"/>
      <c r="C24" s="17">
        <v>0</v>
      </c>
      <c r="E24" s="182">
        <v>0</v>
      </c>
      <c r="G24" s="106">
        <f t="shared" si="1"/>
        <v>0</v>
      </c>
      <c r="I24" s="225">
        <f t="shared" si="0"/>
        <v>1</v>
      </c>
      <c r="J24" s="20"/>
      <c r="K24" s="20"/>
      <c r="L24" s="22"/>
    </row>
    <row r="25" spans="2:12" ht="12" hidden="1">
      <c r="B25" s="18"/>
      <c r="C25" s="17">
        <v>0</v>
      </c>
      <c r="E25" s="182">
        <v>0</v>
      </c>
      <c r="G25" s="106">
        <f t="shared" si="1"/>
        <v>0</v>
      </c>
      <c r="I25" s="225">
        <f t="shared" si="0"/>
        <v>1</v>
      </c>
      <c r="J25" s="20"/>
      <c r="K25" s="20"/>
      <c r="L25" s="22"/>
    </row>
    <row r="26" spans="2:12" ht="12.75" thickBot="1">
      <c r="B26" s="18"/>
      <c r="C26" s="21">
        <v>0</v>
      </c>
      <c r="E26" s="99">
        <v>0</v>
      </c>
      <c r="G26" s="101">
        <f t="shared" si="1"/>
        <v>0</v>
      </c>
      <c r="I26" s="103"/>
      <c r="J26" s="20"/>
      <c r="K26" s="20"/>
      <c r="L26" s="22"/>
    </row>
    <row r="27" spans="1:12" ht="12">
      <c r="A27" s="57"/>
      <c r="B27" s="58"/>
      <c r="C27" s="20"/>
      <c r="D27" s="57"/>
      <c r="E27" s="104"/>
      <c r="F27" s="102"/>
      <c r="G27" s="102">
        <f t="shared" si="1"/>
        <v>0</v>
      </c>
      <c r="H27" s="102"/>
      <c r="I27" s="102"/>
      <c r="J27" s="20"/>
      <c r="K27" s="20"/>
      <c r="L27" s="22"/>
    </row>
    <row r="28" spans="1:12" s="12" customFormat="1" ht="12.75" thickBot="1">
      <c r="A28" s="94" t="s">
        <v>57</v>
      </c>
      <c r="B28" s="95"/>
      <c r="C28" s="75">
        <f>SUM(+C12-C19)</f>
        <v>-394699398.2799988</v>
      </c>
      <c r="D28" s="91"/>
      <c r="E28" s="183">
        <f>SUM(+E12-E19)</f>
        <v>-377832924.8999996</v>
      </c>
      <c r="F28" s="226"/>
      <c r="G28" s="240">
        <f t="shared" si="1"/>
        <v>-16866473.37999916</v>
      </c>
      <c r="H28" s="226"/>
      <c r="I28" s="228">
        <f t="shared" si="0"/>
        <v>0.04273245273111394</v>
      </c>
      <c r="J28" s="91"/>
      <c r="K28" s="91"/>
      <c r="L28" s="92"/>
    </row>
    <row r="29" spans="2:12" ht="12.75" thickTop="1">
      <c r="B29" s="18"/>
      <c r="C29" s="20"/>
      <c r="E29" s="104"/>
      <c r="G29" s="105">
        <f t="shared" si="1"/>
        <v>0</v>
      </c>
      <c r="I29" s="220"/>
      <c r="J29" s="20"/>
      <c r="K29" s="20"/>
      <c r="L29" s="22"/>
    </row>
    <row r="30" spans="2:12" ht="12">
      <c r="B30" s="18"/>
      <c r="C30" s="17"/>
      <c r="E30" s="182"/>
      <c r="G30" s="98">
        <f t="shared" si="1"/>
        <v>0</v>
      </c>
      <c r="J30" s="20"/>
      <c r="K30" s="20"/>
      <c r="L30" s="22"/>
    </row>
    <row r="31" spans="1:12" s="12" customFormat="1" ht="12">
      <c r="A31" s="12" t="s">
        <v>58</v>
      </c>
      <c r="B31" s="25"/>
      <c r="C31" s="88">
        <f>+C33-C35</f>
        <v>110333645.89</v>
      </c>
      <c r="D31" s="88"/>
      <c r="E31" s="181">
        <f>+E33-E35</f>
        <v>143636154.95999998</v>
      </c>
      <c r="F31" s="217"/>
      <c r="G31" s="239">
        <f t="shared" si="1"/>
        <v>-33302509.069999978</v>
      </c>
      <c r="H31" s="217"/>
      <c r="I31" s="219">
        <f t="shared" si="0"/>
        <v>-0.3018345745884422</v>
      </c>
      <c r="J31" s="91"/>
      <c r="K31" s="91"/>
      <c r="L31" s="92"/>
    </row>
    <row r="32" spans="1:12" ht="12">
      <c r="A32" s="12"/>
      <c r="B32" s="18"/>
      <c r="C32" s="17"/>
      <c r="E32" s="182"/>
      <c r="G32" s="106">
        <f t="shared" si="1"/>
        <v>0</v>
      </c>
      <c r="I32" s="225"/>
      <c r="J32" s="20"/>
      <c r="K32" s="20"/>
      <c r="L32" s="22"/>
    </row>
    <row r="33" spans="1:12" ht="12">
      <c r="A33" s="5" t="s">
        <v>64</v>
      </c>
      <c r="B33" s="18">
        <f>+B21+1</f>
        <v>23</v>
      </c>
      <c r="C33" s="17">
        <f>+ANEXO4!C49</f>
        <v>127876510.05</v>
      </c>
      <c r="D33" s="17"/>
      <c r="E33" s="182">
        <f>+ANEXO4!E49</f>
        <v>171887580.17</v>
      </c>
      <c r="G33" s="106">
        <f t="shared" si="1"/>
        <v>-44011070.11999999</v>
      </c>
      <c r="I33" s="225">
        <f t="shared" si="0"/>
        <v>-0.3441685271422528</v>
      </c>
      <c r="J33" s="20"/>
      <c r="K33" s="20"/>
      <c r="L33" s="22"/>
    </row>
    <row r="34" spans="2:12" ht="12">
      <c r="B34" s="18"/>
      <c r="C34" s="20">
        <v>0</v>
      </c>
      <c r="E34" s="104">
        <v>0</v>
      </c>
      <c r="G34" s="106">
        <f t="shared" si="1"/>
        <v>0</v>
      </c>
      <c r="I34" s="220"/>
      <c r="J34" s="20"/>
      <c r="K34" s="20"/>
      <c r="L34" s="22"/>
    </row>
    <row r="35" spans="1:13" ht="12">
      <c r="A35" s="5" t="s">
        <v>59</v>
      </c>
      <c r="B35" s="18">
        <f>+B33+1</f>
        <v>24</v>
      </c>
      <c r="C35" s="20">
        <f>+ANEXO4!C54</f>
        <v>17542864.16</v>
      </c>
      <c r="D35" s="20"/>
      <c r="E35" s="104">
        <f>+ANEXO4!E54</f>
        <v>28251425.21</v>
      </c>
      <c r="G35" s="105">
        <f t="shared" si="1"/>
        <v>-10708561.05</v>
      </c>
      <c r="I35" s="220">
        <f t="shared" si="0"/>
        <v>-0.610422616987305</v>
      </c>
      <c r="J35" s="20"/>
      <c r="K35" s="20"/>
      <c r="L35" s="22"/>
      <c r="M35" s="57"/>
    </row>
    <row r="36" spans="2:13" ht="12.75" thickBot="1">
      <c r="B36" s="18"/>
      <c r="C36" s="21"/>
      <c r="E36" s="99"/>
      <c r="G36" s="101">
        <f t="shared" si="1"/>
        <v>0</v>
      </c>
      <c r="I36" s="103"/>
      <c r="J36" s="20"/>
      <c r="K36" s="20"/>
      <c r="L36" s="22"/>
      <c r="M36" s="19"/>
    </row>
    <row r="37" spans="2:12" ht="12">
      <c r="B37" s="18"/>
      <c r="C37" s="17"/>
      <c r="E37" s="182"/>
      <c r="G37" s="98">
        <f t="shared" si="1"/>
        <v>0</v>
      </c>
      <c r="J37" s="20"/>
      <c r="K37" s="20"/>
      <c r="L37" s="22"/>
    </row>
    <row r="38" spans="1:12" s="12" customFormat="1" ht="12.75" thickBot="1">
      <c r="A38" s="94" t="s">
        <v>60</v>
      </c>
      <c r="B38" s="25"/>
      <c r="C38" s="75">
        <f>SUM(C31)</f>
        <v>110333645.89</v>
      </c>
      <c r="D38" s="91"/>
      <c r="E38" s="183">
        <f>SUM(E31)</f>
        <v>143636154.95999998</v>
      </c>
      <c r="F38" s="217"/>
      <c r="G38" s="240">
        <f t="shared" si="1"/>
        <v>-33302509.069999978</v>
      </c>
      <c r="H38" s="217"/>
      <c r="I38" s="228">
        <f t="shared" si="0"/>
        <v>-0.3018345745884422</v>
      </c>
      <c r="J38" s="91"/>
      <c r="K38" s="91"/>
      <c r="L38" s="92"/>
    </row>
    <row r="39" spans="2:12" ht="12.75" thickTop="1">
      <c r="B39" s="18"/>
      <c r="C39" s="20"/>
      <c r="E39" s="104"/>
      <c r="G39" s="98">
        <f t="shared" si="1"/>
        <v>0</v>
      </c>
      <c r="J39" s="20"/>
      <c r="K39" s="20"/>
      <c r="L39" s="22"/>
    </row>
    <row r="40" spans="1:12" s="12" customFormat="1" ht="12.75" thickBot="1">
      <c r="A40" s="12" t="s">
        <v>51</v>
      </c>
      <c r="B40" s="25"/>
      <c r="C40" s="78">
        <f>SUM(C28+C38)</f>
        <v>-284365752.3899988</v>
      </c>
      <c r="D40" s="91"/>
      <c r="E40" s="184">
        <f>SUM(E28+E38)</f>
        <v>-234196769.93999964</v>
      </c>
      <c r="F40" s="217"/>
      <c r="G40" s="241">
        <f t="shared" si="1"/>
        <v>-50168982.44999915</v>
      </c>
      <c r="H40" s="217"/>
      <c r="I40" s="230">
        <f t="shared" si="0"/>
        <v>0.17642413697270393</v>
      </c>
      <c r="J40" s="91"/>
      <c r="K40" s="91"/>
      <c r="L40" s="92"/>
    </row>
    <row r="41" spans="2:12" ht="12">
      <c r="B41" s="18"/>
      <c r="C41" s="20"/>
      <c r="E41" s="104"/>
      <c r="G41" s="98">
        <f t="shared" si="1"/>
        <v>0</v>
      </c>
      <c r="J41" s="20"/>
      <c r="K41" s="20"/>
      <c r="L41" s="22"/>
    </row>
    <row r="42" spans="1:12" ht="12.75" thickBot="1">
      <c r="A42" s="5" t="s">
        <v>61</v>
      </c>
      <c r="B42" s="18"/>
      <c r="C42" s="21">
        <v>0</v>
      </c>
      <c r="E42" s="99">
        <v>0</v>
      </c>
      <c r="G42" s="101">
        <f t="shared" si="1"/>
        <v>0</v>
      </c>
      <c r="I42" s="103"/>
      <c r="J42" s="20"/>
      <c r="K42" s="20"/>
      <c r="L42" s="22"/>
    </row>
    <row r="43" spans="2:12" ht="12">
      <c r="B43" s="18"/>
      <c r="C43" s="17"/>
      <c r="E43" s="182"/>
      <c r="G43" s="98">
        <f t="shared" si="1"/>
        <v>0</v>
      </c>
      <c r="J43" s="20"/>
      <c r="K43" s="20"/>
      <c r="L43" s="22"/>
    </row>
    <row r="44" spans="1:12" s="12" customFormat="1" ht="12.75" thickBot="1">
      <c r="A44" s="12" t="s">
        <v>62</v>
      </c>
      <c r="B44" s="25"/>
      <c r="C44" s="72">
        <f>SUM(C40+C42)</f>
        <v>-284365752.3899988</v>
      </c>
      <c r="D44" s="91"/>
      <c r="E44" s="242">
        <f>SUM(E40+E42)</f>
        <v>-234196769.93999964</v>
      </c>
      <c r="F44" s="217"/>
      <c r="G44" s="243">
        <f t="shared" si="1"/>
        <v>-50168982.44999915</v>
      </c>
      <c r="H44" s="217"/>
      <c r="I44" s="234">
        <f t="shared" si="0"/>
        <v>0.17642413697270393</v>
      </c>
      <c r="J44" s="91"/>
      <c r="K44" s="91"/>
      <c r="L44" s="92"/>
    </row>
    <row r="45" spans="2:12" ht="12.75" thickTop="1">
      <c r="B45" s="18"/>
      <c r="C45" s="17"/>
      <c r="J45" s="22"/>
      <c r="K45" s="22"/>
      <c r="L45" s="22"/>
    </row>
    <row r="46" spans="2:12" ht="12">
      <c r="B46" s="18"/>
      <c r="C46" s="17"/>
      <c r="J46" s="22"/>
      <c r="K46" s="22"/>
      <c r="L46" s="22"/>
    </row>
    <row r="47" spans="2:12" ht="12">
      <c r="B47" s="18"/>
      <c r="C47" s="17"/>
      <c r="J47" s="22"/>
      <c r="K47" s="22"/>
      <c r="L47" s="22"/>
    </row>
    <row r="48" spans="2:3" ht="12">
      <c r="B48" s="18"/>
      <c r="C48" s="17"/>
    </row>
    <row r="49" spans="1:5" ht="12">
      <c r="A49" s="106" t="str">
        <f>+ANEXO4!A70</f>
        <v>ORIGINAL FIRMADO</v>
      </c>
      <c r="B49" s="12"/>
      <c r="C49" s="17"/>
      <c r="E49" s="106" t="str">
        <f>+A49</f>
        <v>ORIGINAL FIRMADO</v>
      </c>
    </row>
    <row r="50" spans="1:5" ht="12">
      <c r="A50" s="12" t="str">
        <f>+ANEXO4!A71</f>
        <v>MIRIAN ROCIO CARREÑO GUTIERREZ</v>
      </c>
      <c r="B50" s="12"/>
      <c r="C50" s="88"/>
      <c r="D50" s="12"/>
      <c r="E50" s="239" t="str">
        <f>+ANEXO4!G71</f>
        <v>DIEGO FERNANDO MANCILLA LEON</v>
      </c>
    </row>
    <row r="51" spans="1:5" ht="12">
      <c r="A51" s="12" t="str">
        <f>+ANEXO4!A72</f>
        <v>REPRESENTANTE LEGAL ( E )</v>
      </c>
      <c r="B51" s="12"/>
      <c r="C51" s="89"/>
      <c r="D51" s="12"/>
      <c r="E51" s="239" t="str">
        <f>+ANEXO4!G72</f>
        <v>REVISOR FISCAL</v>
      </c>
    </row>
    <row r="52" spans="1:12" ht="12">
      <c r="A52" s="82"/>
      <c r="B52" s="12"/>
      <c r="C52" s="82"/>
      <c r="D52" s="12"/>
      <c r="E52" s="239" t="str">
        <f>+ANEXO4!G73</f>
        <v>T.P. 153902-T</v>
      </c>
      <c r="F52" s="236"/>
      <c r="H52" s="237"/>
      <c r="I52" s="237"/>
      <c r="J52" s="29"/>
      <c r="K52" s="29"/>
      <c r="L52" s="16"/>
    </row>
    <row r="53" spans="1:12" ht="12">
      <c r="A53" s="82"/>
      <c r="B53" s="12"/>
      <c r="C53" s="82"/>
      <c r="D53" s="24"/>
      <c r="E53" s="98" t="str">
        <f>+ANEXO4!G74</f>
        <v>En representacion de la firma </v>
      </c>
      <c r="F53" s="236"/>
      <c r="H53" s="237"/>
      <c r="I53" s="237"/>
      <c r="J53" s="29"/>
      <c r="K53" s="29"/>
      <c r="L53" s="16"/>
    </row>
    <row r="54" spans="1:12" ht="12">
      <c r="A54" s="25"/>
      <c r="B54" s="12"/>
      <c r="C54" s="12"/>
      <c r="D54" s="24"/>
      <c r="E54" s="98" t="str">
        <f>+ANEXO4!G75</f>
        <v>Leones Asociados S.A.S</v>
      </c>
      <c r="F54" s="237"/>
      <c r="G54" s="237"/>
      <c r="H54" s="237"/>
      <c r="I54" s="237"/>
      <c r="J54" s="16"/>
      <c r="K54" s="16"/>
      <c r="L54" s="16"/>
    </row>
    <row r="55" spans="1:12" ht="12">
      <c r="A55" s="106" t="str">
        <f>+A49</f>
        <v>ORIGINAL FIRMADO</v>
      </c>
      <c r="B55" s="12"/>
      <c r="C55" s="12"/>
      <c r="D55" s="24"/>
      <c r="E55" s="98" t="str">
        <f>+ANEXO4!G76</f>
        <v>Ver Opinion Adjunta</v>
      </c>
      <c r="F55" s="237"/>
      <c r="G55" s="237"/>
      <c r="H55" s="237"/>
      <c r="I55" s="237"/>
      <c r="J55" s="16"/>
      <c r="K55" s="16"/>
      <c r="L55" s="16"/>
    </row>
    <row r="56" spans="1:5" ht="12">
      <c r="A56" s="12" t="str">
        <f>+ANEXO4!A76</f>
        <v>EVER SANCHEZ FIGUEROA</v>
      </c>
      <c r="B56" s="12"/>
      <c r="C56" s="12"/>
      <c r="D56" s="12"/>
      <c r="E56" s="239"/>
    </row>
    <row r="57" spans="1:12" ht="12">
      <c r="A57" s="12" t="str">
        <f>+ANEXO4!A77</f>
        <v>CONTADOR</v>
      </c>
      <c r="B57" s="71"/>
      <c r="C57" s="71"/>
      <c r="D57" s="71"/>
      <c r="E57" s="244"/>
      <c r="F57" s="237"/>
      <c r="G57" s="237"/>
      <c r="H57" s="237"/>
      <c r="I57" s="237"/>
      <c r="J57" s="60"/>
      <c r="K57" s="60"/>
      <c r="L57" s="16"/>
    </row>
    <row r="58" spans="1:12" ht="12">
      <c r="A58" s="12" t="str">
        <f>+ANEXO4!A78</f>
        <v>T.P. 134809-T</v>
      </c>
      <c r="B58" s="71"/>
      <c r="C58" s="71"/>
      <c r="D58" s="71"/>
      <c r="E58" s="244"/>
      <c r="F58" s="237"/>
      <c r="G58" s="237"/>
      <c r="H58" s="237"/>
      <c r="I58" s="237"/>
      <c r="J58" s="60"/>
      <c r="K58" s="60"/>
      <c r="L58" s="16"/>
    </row>
  </sheetData>
  <sheetProtection/>
  <mergeCells count="7">
    <mergeCell ref="G8:I8"/>
    <mergeCell ref="A1:I1"/>
    <mergeCell ref="A2:I2"/>
    <mergeCell ref="A3:I3"/>
    <mergeCell ref="A4:I4"/>
    <mergeCell ref="A5:I5"/>
    <mergeCell ref="A6:I6"/>
  </mergeCells>
  <printOptions/>
  <pageMargins left="0.25" right="0.1968503937007874" top="0.83" bottom="0.7874015748031497" header="0.5118110236220472" footer="0.5118110236220472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4"/>
  <sheetViews>
    <sheetView view="pageBreakPreview" zoomScale="60" zoomScalePageLayoutView="0" workbookViewId="0" topLeftCell="A6">
      <selection activeCell="K121" sqref="K121"/>
    </sheetView>
  </sheetViews>
  <sheetFormatPr defaultColWidth="11.421875" defaultRowHeight="12.75"/>
  <cols>
    <col min="1" max="1" width="2.8515625" style="5" customWidth="1"/>
    <col min="2" max="2" width="37.421875" style="5" bestFit="1" customWidth="1"/>
    <col min="3" max="3" width="5.140625" style="18" customWidth="1"/>
    <col min="4" max="4" width="23.00390625" style="17" bestFit="1" customWidth="1"/>
    <col min="5" max="5" width="4.140625" style="5" customWidth="1"/>
    <col min="6" max="6" width="14.421875" style="185" bestFit="1" customWidth="1"/>
    <col min="7" max="7" width="0.85546875" style="98" customWidth="1"/>
    <col min="8" max="8" width="14.421875" style="98" bestFit="1" customWidth="1"/>
    <col min="9" max="9" width="1.421875" style="98" customWidth="1"/>
    <col min="10" max="10" width="11.00390625" style="98" bestFit="1" customWidth="1"/>
    <col min="11" max="11" width="12.00390625" style="7" customWidth="1"/>
    <col min="12" max="12" width="2.7109375" style="5" bestFit="1" customWidth="1"/>
    <col min="13" max="13" width="14.421875" style="5" bestFit="1" customWidth="1"/>
    <col min="14" max="16384" width="11.421875" style="5" customWidth="1"/>
  </cols>
  <sheetData>
    <row r="1" spans="2:10" ht="12.75">
      <c r="B1" s="255" t="s">
        <v>117</v>
      </c>
      <c r="C1" s="255"/>
      <c r="D1" s="255"/>
      <c r="E1" s="255"/>
      <c r="F1" s="255"/>
      <c r="G1" s="255"/>
      <c r="H1" s="255"/>
      <c r="I1" s="255"/>
      <c r="J1" s="255"/>
    </row>
    <row r="2" spans="2:10" ht="12.75">
      <c r="B2" s="255" t="s">
        <v>118</v>
      </c>
      <c r="C2" s="255"/>
      <c r="D2" s="255"/>
      <c r="E2" s="255"/>
      <c r="F2" s="255"/>
      <c r="G2" s="255"/>
      <c r="H2" s="255"/>
      <c r="I2" s="255"/>
      <c r="J2" s="255"/>
    </row>
    <row r="3" spans="2:10" ht="12.75">
      <c r="B3" s="255" t="s">
        <v>119</v>
      </c>
      <c r="C3" s="255"/>
      <c r="D3" s="255"/>
      <c r="E3" s="255"/>
      <c r="F3" s="255"/>
      <c r="G3" s="255"/>
      <c r="H3" s="255"/>
      <c r="I3" s="255"/>
      <c r="J3" s="255"/>
    </row>
    <row r="4" spans="2:10" ht="12.75">
      <c r="B4" s="255" t="s">
        <v>254</v>
      </c>
      <c r="C4" s="255"/>
      <c r="D4" s="255"/>
      <c r="E4" s="255"/>
      <c r="F4" s="255"/>
      <c r="G4" s="255"/>
      <c r="H4" s="255"/>
      <c r="I4" s="255"/>
      <c r="J4" s="255"/>
    </row>
    <row r="5" spans="2:10" ht="12">
      <c r="B5" s="256" t="str">
        <f>+'ER'!A5</f>
        <v>VIGILADOS SUPERSALUD</v>
      </c>
      <c r="C5" s="256"/>
      <c r="D5" s="256"/>
      <c r="E5" s="256"/>
      <c r="F5" s="256"/>
      <c r="G5" s="256"/>
      <c r="H5" s="256"/>
      <c r="I5" s="256"/>
      <c r="J5" s="256"/>
    </row>
    <row r="6" spans="2:10" ht="12">
      <c r="B6" s="256" t="s">
        <v>120</v>
      </c>
      <c r="C6" s="256"/>
      <c r="D6" s="256"/>
      <c r="E6" s="256"/>
      <c r="F6" s="256"/>
      <c r="G6" s="256"/>
      <c r="H6" s="256"/>
      <c r="I6" s="256"/>
      <c r="J6" s="256"/>
    </row>
    <row r="8" spans="3:13" ht="12">
      <c r="C8" s="61"/>
      <c r="H8" s="245" t="s">
        <v>21</v>
      </c>
      <c r="I8" s="237"/>
      <c r="J8" s="237"/>
      <c r="K8" s="28"/>
      <c r="L8" s="57"/>
      <c r="M8" s="68"/>
    </row>
    <row r="9" spans="2:13" ht="12">
      <c r="B9" s="30" t="s">
        <v>22</v>
      </c>
      <c r="C9" s="25"/>
      <c r="D9" s="51" t="str">
        <f>+'ER'!C8</f>
        <v>Diciembre 31/15</v>
      </c>
      <c r="E9" s="74"/>
      <c r="F9" s="186" t="str">
        <f>+'ER'!E8</f>
        <v>Diciemb. 31/14</v>
      </c>
      <c r="H9" s="97" t="s">
        <v>23</v>
      </c>
      <c r="J9" s="97" t="s">
        <v>24</v>
      </c>
      <c r="K9" s="69"/>
      <c r="L9" s="57"/>
      <c r="M9" s="58"/>
    </row>
    <row r="10" spans="5:13" ht="12">
      <c r="E10" s="53"/>
      <c r="K10" s="28"/>
      <c r="L10" s="57"/>
      <c r="M10" s="57"/>
    </row>
    <row r="11" spans="2:13" s="12" customFormat="1" ht="12">
      <c r="B11" s="12" t="s">
        <v>25</v>
      </c>
      <c r="C11" s="25"/>
      <c r="D11" s="88">
        <f>+D14+D17+D20+D26</f>
        <v>2528410325.62</v>
      </c>
      <c r="E11" s="88"/>
      <c r="F11" s="181">
        <f>+F14+F17+F20+F26</f>
        <v>2854592238.11</v>
      </c>
      <c r="G11" s="217"/>
      <c r="H11" s="239">
        <f>+D11-F11</f>
        <v>-326181912.49000025</v>
      </c>
      <c r="I11" s="217"/>
      <c r="J11" s="219">
        <f>IF(F11=0,1,(H11/F11))</f>
        <v>-0.11426567624452114</v>
      </c>
      <c r="K11" s="91"/>
      <c r="L11" s="93"/>
      <c r="M11" s="92"/>
    </row>
    <row r="12" spans="5:13" ht="12">
      <c r="E12" s="53"/>
      <c r="F12" s="182"/>
      <c r="J12" s="225"/>
      <c r="K12" s="20"/>
      <c r="L12" s="57"/>
      <c r="M12" s="22"/>
    </row>
    <row r="13" spans="1:13" ht="11.25" customHeight="1">
      <c r="A13" s="18"/>
      <c r="E13" s="53"/>
      <c r="F13" s="182"/>
      <c r="H13" s="106">
        <f aca="true" t="shared" si="0" ref="H13:H31">+D13-F13</f>
        <v>0</v>
      </c>
      <c r="J13" s="225"/>
      <c r="K13" s="20"/>
      <c r="L13" s="57"/>
      <c r="M13" s="22"/>
    </row>
    <row r="14" spans="1:13" s="30" customFormat="1" ht="13.5" customHeight="1">
      <c r="A14" s="179"/>
      <c r="B14" s="30" t="s">
        <v>122</v>
      </c>
      <c r="C14" s="179"/>
      <c r="D14" s="204">
        <f>SUM(D15:D16)</f>
        <v>741136659.61</v>
      </c>
      <c r="E14" s="204"/>
      <c r="F14" s="205">
        <f>SUM(F15:F16)</f>
        <v>318694386.28</v>
      </c>
      <c r="G14" s="246"/>
      <c r="H14" s="247">
        <f t="shared" si="0"/>
        <v>422442273.33000004</v>
      </c>
      <c r="I14" s="246"/>
      <c r="J14" s="248">
        <f aca="true" t="shared" si="1" ref="J14:J21">IF(F14=0,1,(H14/F14))</f>
        <v>1.325540365680771</v>
      </c>
      <c r="K14" s="206"/>
      <c r="L14" s="207"/>
      <c r="M14" s="208"/>
    </row>
    <row r="15" spans="1:13" ht="13.5" customHeight="1">
      <c r="A15" s="18"/>
      <c r="B15" s="5" t="s">
        <v>123</v>
      </c>
      <c r="D15" s="182">
        <v>54400</v>
      </c>
      <c r="E15" s="53"/>
      <c r="F15" s="182">
        <v>142200</v>
      </c>
      <c r="H15" s="106">
        <f t="shared" si="0"/>
        <v>-87800</v>
      </c>
      <c r="J15" s="225">
        <f t="shared" si="1"/>
        <v>-0.6174402250351617</v>
      </c>
      <c r="K15" s="20"/>
      <c r="L15" s="57"/>
      <c r="M15" s="22"/>
    </row>
    <row r="16" spans="1:13" ht="13.5" customHeight="1">
      <c r="A16" s="18"/>
      <c r="B16" s="5" t="s">
        <v>124</v>
      </c>
      <c r="D16" s="182">
        <v>741082259.61</v>
      </c>
      <c r="E16" s="53"/>
      <c r="F16" s="182">
        <v>318552186.28</v>
      </c>
      <c r="H16" s="106">
        <f t="shared" si="0"/>
        <v>422530073.33000004</v>
      </c>
      <c r="J16" s="225">
        <f t="shared" si="1"/>
        <v>1.3264077018721383</v>
      </c>
      <c r="K16" s="20"/>
      <c r="L16" s="57"/>
      <c r="M16" s="22"/>
    </row>
    <row r="17" spans="1:13" s="30" customFormat="1" ht="12">
      <c r="A17" s="179"/>
      <c r="B17" s="30" t="s">
        <v>125</v>
      </c>
      <c r="C17" s="179"/>
      <c r="D17" s="204">
        <f>SUM(D18:D19)</f>
        <v>1268813090.1</v>
      </c>
      <c r="E17" s="204"/>
      <c r="F17" s="205">
        <f>SUM(F18:F19)</f>
        <v>1922749529.64</v>
      </c>
      <c r="G17" s="246"/>
      <c r="H17" s="247">
        <f t="shared" si="0"/>
        <v>-653936439.5400002</v>
      </c>
      <c r="I17" s="246"/>
      <c r="J17" s="248">
        <f t="shared" si="1"/>
        <v>-0.34010484957051995</v>
      </c>
      <c r="K17" s="206"/>
      <c r="L17" s="207"/>
      <c r="M17" s="208"/>
    </row>
    <row r="18" spans="1:13" ht="12">
      <c r="A18" s="18"/>
      <c r="B18" s="5" t="s">
        <v>126</v>
      </c>
      <c r="D18" s="182">
        <v>1260000000</v>
      </c>
      <c r="E18" s="53"/>
      <c r="F18" s="182">
        <v>1915000000</v>
      </c>
      <c r="H18" s="106">
        <f t="shared" si="0"/>
        <v>-655000000</v>
      </c>
      <c r="J18" s="225">
        <f t="shared" si="1"/>
        <v>-0.34203655352480417</v>
      </c>
      <c r="K18" s="20"/>
      <c r="L18" s="57"/>
      <c r="M18" s="22"/>
    </row>
    <row r="19" spans="1:13" ht="12">
      <c r="A19" s="18"/>
      <c r="B19" s="5" t="s">
        <v>127</v>
      </c>
      <c r="D19" s="182">
        <v>8813090.1</v>
      </c>
      <c r="E19" s="53"/>
      <c r="F19" s="182">
        <v>7749529.64</v>
      </c>
      <c r="H19" s="106">
        <f t="shared" si="0"/>
        <v>1063560.46</v>
      </c>
      <c r="J19" s="225">
        <f t="shared" si="1"/>
        <v>0.1372419371764607</v>
      </c>
      <c r="K19" s="20"/>
      <c r="L19" s="57"/>
      <c r="M19" s="22"/>
    </row>
    <row r="20" spans="1:13" s="30" customFormat="1" ht="12">
      <c r="A20" s="179"/>
      <c r="B20" s="30" t="s">
        <v>128</v>
      </c>
      <c r="C20" s="179"/>
      <c r="D20" s="204">
        <f>SUM(D21:D25)</f>
        <v>393479453.1</v>
      </c>
      <c r="E20" s="204"/>
      <c r="F20" s="205">
        <f>SUM(F21:F25)</f>
        <v>455011567.39000005</v>
      </c>
      <c r="G20" s="246"/>
      <c r="H20" s="247">
        <f t="shared" si="0"/>
        <v>-61532114.29000002</v>
      </c>
      <c r="I20" s="246"/>
      <c r="J20" s="248">
        <f t="shared" si="1"/>
        <v>-0.1352319780416913</v>
      </c>
      <c r="K20" s="206"/>
      <c r="L20" s="207"/>
      <c r="M20" s="208"/>
    </row>
    <row r="21" spans="1:13" ht="12">
      <c r="A21" s="18"/>
      <c r="B21" s="5" t="s">
        <v>82</v>
      </c>
      <c r="D21" s="182">
        <v>398725158.44</v>
      </c>
      <c r="E21" s="53"/>
      <c r="F21" s="182">
        <v>450399256.74</v>
      </c>
      <c r="H21" s="106">
        <f t="shared" si="0"/>
        <v>-51674098.30000001</v>
      </c>
      <c r="J21" s="225">
        <f t="shared" si="1"/>
        <v>-0.11472953724217554</v>
      </c>
      <c r="K21" s="20"/>
      <c r="L21" s="57"/>
      <c r="M21" s="22"/>
    </row>
    <row r="22" spans="1:13" ht="12">
      <c r="A22" s="18"/>
      <c r="B22" s="5" t="s">
        <v>130</v>
      </c>
      <c r="D22" s="182">
        <v>0</v>
      </c>
      <c r="E22" s="53"/>
      <c r="F22" s="182">
        <v>0</v>
      </c>
      <c r="H22" s="106">
        <f t="shared" si="0"/>
        <v>0</v>
      </c>
      <c r="J22" s="225"/>
      <c r="K22" s="20"/>
      <c r="L22" s="57"/>
      <c r="M22" s="22"/>
    </row>
    <row r="23" spans="1:13" ht="12">
      <c r="A23" s="18"/>
      <c r="B23" s="5" t="s">
        <v>131</v>
      </c>
      <c r="D23" s="182">
        <v>24625237.63</v>
      </c>
      <c r="E23" s="53"/>
      <c r="F23" s="182">
        <v>16430876.52</v>
      </c>
      <c r="H23" s="106">
        <f t="shared" si="0"/>
        <v>8194361.109999999</v>
      </c>
      <c r="J23" s="225">
        <f aca="true" t="shared" si="2" ref="J23:J30">IF(F23=0,1,(H23/F23))</f>
        <v>0.49871722302980337</v>
      </c>
      <c r="K23" s="20"/>
      <c r="L23" s="57"/>
      <c r="M23" s="22"/>
    </row>
    <row r="24" spans="1:13" ht="12">
      <c r="A24" s="18"/>
      <c r="B24" s="5" t="s">
        <v>243</v>
      </c>
      <c r="D24" s="182">
        <v>128207480.51</v>
      </c>
      <c r="E24" s="53"/>
      <c r="F24" s="182">
        <v>125373478.7</v>
      </c>
      <c r="H24" s="106">
        <f t="shared" si="0"/>
        <v>2834001.8100000024</v>
      </c>
      <c r="J24" s="225">
        <f t="shared" si="2"/>
        <v>0.022604476157045503</v>
      </c>
      <c r="K24" s="20"/>
      <c r="L24" s="57"/>
      <c r="M24" s="22"/>
    </row>
    <row r="25" spans="1:13" ht="12">
      <c r="A25" s="18"/>
      <c r="B25" s="5" t="s">
        <v>132</v>
      </c>
      <c r="D25" s="182">
        <v>-158078423.48</v>
      </c>
      <c r="E25" s="53"/>
      <c r="F25" s="182">
        <v>-137192044.57</v>
      </c>
      <c r="H25" s="106">
        <f t="shared" si="0"/>
        <v>-20886378.909999996</v>
      </c>
      <c r="J25" s="225">
        <f t="shared" si="2"/>
        <v>0.15224191005727788</v>
      </c>
      <c r="K25" s="20"/>
      <c r="L25" s="57"/>
      <c r="M25" s="22"/>
    </row>
    <row r="26" spans="1:13" s="30" customFormat="1" ht="13.5" customHeight="1">
      <c r="A26" s="179"/>
      <c r="B26" s="30" t="s">
        <v>129</v>
      </c>
      <c r="C26" s="179"/>
      <c r="D26" s="204">
        <f>+D27</f>
        <v>124981122.81</v>
      </c>
      <c r="E26" s="204"/>
      <c r="F26" s="205">
        <f>+F27</f>
        <v>158136754.8</v>
      </c>
      <c r="G26" s="246"/>
      <c r="H26" s="247">
        <f t="shared" si="0"/>
        <v>-33155631.99000001</v>
      </c>
      <c r="I26" s="246"/>
      <c r="J26" s="248">
        <f t="shared" si="2"/>
        <v>-0.20966429994047156</v>
      </c>
      <c r="K26" s="206"/>
      <c r="L26" s="207"/>
      <c r="M26" s="208"/>
    </row>
    <row r="27" spans="1:13" ht="13.5" customHeight="1">
      <c r="A27" s="18"/>
      <c r="B27" s="5" t="s">
        <v>133</v>
      </c>
      <c r="D27" s="182">
        <v>124981122.81</v>
      </c>
      <c r="E27" s="53"/>
      <c r="F27" s="182">
        <v>158136754.8</v>
      </c>
      <c r="H27" s="106">
        <f t="shared" si="0"/>
        <v>-33155631.99000001</v>
      </c>
      <c r="J27" s="225">
        <f t="shared" si="2"/>
        <v>-0.20966429994047156</v>
      </c>
      <c r="K27" s="20"/>
      <c r="L27" s="57"/>
      <c r="M27" s="22"/>
    </row>
    <row r="28" spans="1:13" ht="12" hidden="1">
      <c r="A28" s="18"/>
      <c r="B28" s="5" t="s">
        <v>27</v>
      </c>
      <c r="E28" s="53"/>
      <c r="F28" s="182"/>
      <c r="H28" s="106">
        <f t="shared" si="0"/>
        <v>0</v>
      </c>
      <c r="J28" s="225">
        <f t="shared" si="2"/>
        <v>1</v>
      </c>
      <c r="K28" s="20"/>
      <c r="L28" s="57"/>
      <c r="M28" s="22"/>
    </row>
    <row r="29" spans="1:13" ht="12" hidden="1">
      <c r="A29" s="18"/>
      <c r="B29" s="5" t="s">
        <v>28</v>
      </c>
      <c r="E29" s="53"/>
      <c r="F29" s="182"/>
      <c r="H29" s="106">
        <f t="shared" si="0"/>
        <v>0</v>
      </c>
      <c r="J29" s="225">
        <f t="shared" si="2"/>
        <v>1</v>
      </c>
      <c r="K29" s="20"/>
      <c r="L29" s="57"/>
      <c r="M29" s="22"/>
    </row>
    <row r="30" spans="1:13" ht="12" hidden="1">
      <c r="A30" s="18"/>
      <c r="B30" s="5" t="s">
        <v>29</v>
      </c>
      <c r="D30" s="20"/>
      <c r="E30" s="53"/>
      <c r="F30" s="104"/>
      <c r="H30" s="106">
        <f t="shared" si="0"/>
        <v>0</v>
      </c>
      <c r="J30" s="225">
        <f t="shared" si="2"/>
        <v>1</v>
      </c>
      <c r="K30" s="20"/>
      <c r="L30" s="57"/>
      <c r="M30" s="22"/>
    </row>
    <row r="31" spans="1:13" ht="12.75" thickBot="1">
      <c r="A31" s="18"/>
      <c r="D31" s="21"/>
      <c r="E31" s="53"/>
      <c r="F31" s="99"/>
      <c r="H31" s="101">
        <f t="shared" si="0"/>
        <v>0</v>
      </c>
      <c r="J31" s="103"/>
      <c r="K31" s="20"/>
      <c r="L31" s="57"/>
      <c r="M31" s="22"/>
    </row>
    <row r="32" spans="1:13" ht="12">
      <c r="A32" s="18"/>
      <c r="E32" s="53"/>
      <c r="F32" s="182"/>
      <c r="K32" s="20"/>
      <c r="L32" s="57"/>
      <c r="M32" s="22"/>
    </row>
    <row r="33" spans="1:13" ht="12">
      <c r="A33" s="18"/>
      <c r="E33" s="53"/>
      <c r="F33" s="182"/>
      <c r="K33" s="20"/>
      <c r="L33" s="57"/>
      <c r="M33" s="22"/>
    </row>
    <row r="34" spans="1:13" s="12" customFormat="1" ht="12">
      <c r="A34" s="25"/>
      <c r="B34" s="12" t="s">
        <v>30</v>
      </c>
      <c r="C34" s="25"/>
      <c r="D34" s="88">
        <f>+D36+D49+D51</f>
        <v>2185900921.44</v>
      </c>
      <c r="E34" s="88"/>
      <c r="F34" s="181">
        <f>+F36+F49+F51</f>
        <v>2161130728.7000003</v>
      </c>
      <c r="G34" s="217"/>
      <c r="H34" s="239">
        <f>+D34-F34</f>
        <v>24770192.73999977</v>
      </c>
      <c r="I34" s="217"/>
      <c r="J34" s="219">
        <f>IF(F34=0,1,(H34/F34))</f>
        <v>0.011461681799740062</v>
      </c>
      <c r="K34" s="91"/>
      <c r="L34" s="93"/>
      <c r="M34" s="92"/>
    </row>
    <row r="35" spans="1:13" ht="12">
      <c r="A35" s="18"/>
      <c r="E35" s="53"/>
      <c r="F35" s="182"/>
      <c r="K35" s="20"/>
      <c r="L35" s="57"/>
      <c r="M35" s="22"/>
    </row>
    <row r="36" spans="1:13" s="30" customFormat="1" ht="12">
      <c r="A36" s="179"/>
      <c r="B36" s="30" t="s">
        <v>146</v>
      </c>
      <c r="C36" s="179"/>
      <c r="D36" s="204">
        <f>SUM(D37:D48)</f>
        <v>1161779314.42</v>
      </c>
      <c r="E36" s="204"/>
      <c r="F36" s="205">
        <f>SUM(F37:F48)</f>
        <v>1242877008.96</v>
      </c>
      <c r="G36" s="246"/>
      <c r="H36" s="247">
        <f aca="true" t="shared" si="3" ref="H36:H57">+D36-F36</f>
        <v>-81097694.53999996</v>
      </c>
      <c r="I36" s="246"/>
      <c r="J36" s="248">
        <f>IF(F36=0,1,(H36/F36))</f>
        <v>-0.06524997562539188</v>
      </c>
      <c r="K36" s="206"/>
      <c r="L36" s="207"/>
      <c r="M36" s="208"/>
    </row>
    <row r="37" spans="1:13" ht="12">
      <c r="A37" s="18"/>
      <c r="B37" s="5" t="s">
        <v>134</v>
      </c>
      <c r="D37" s="182">
        <v>521397000</v>
      </c>
      <c r="E37" s="53"/>
      <c r="F37" s="182">
        <v>521397000</v>
      </c>
      <c r="H37" s="106">
        <f t="shared" si="3"/>
        <v>0</v>
      </c>
      <c r="J37" s="225">
        <f>IF(F37=0,1,(H37/F37))</f>
        <v>0</v>
      </c>
      <c r="K37" s="20"/>
      <c r="L37" s="57"/>
      <c r="M37" s="22"/>
    </row>
    <row r="38" spans="1:13" ht="12">
      <c r="A38" s="18"/>
      <c r="B38" s="5" t="s">
        <v>135</v>
      </c>
      <c r="D38" s="182">
        <v>0</v>
      </c>
      <c r="E38" s="53"/>
      <c r="F38" s="182">
        <v>0</v>
      </c>
      <c r="H38" s="106">
        <f t="shared" si="3"/>
        <v>0</v>
      </c>
      <c r="J38" s="225"/>
      <c r="K38" s="20"/>
      <c r="L38" s="57"/>
      <c r="M38" s="22"/>
    </row>
    <row r="39" spans="1:13" ht="12">
      <c r="A39" s="18"/>
      <c r="B39" s="5" t="s">
        <v>136</v>
      </c>
      <c r="D39" s="182">
        <v>0</v>
      </c>
      <c r="E39" s="53"/>
      <c r="F39" s="182">
        <v>0</v>
      </c>
      <c r="H39" s="106">
        <f t="shared" si="3"/>
        <v>0</v>
      </c>
      <c r="J39" s="225">
        <f aca="true" t="shared" si="4" ref="J39:J57">IF(F39=0,1,(H39/F39))</f>
        <v>1</v>
      </c>
      <c r="K39" s="20"/>
      <c r="L39" s="57"/>
      <c r="M39" s="22"/>
    </row>
    <row r="40" spans="1:13" ht="12">
      <c r="A40" s="18"/>
      <c r="B40" s="5" t="s">
        <v>137</v>
      </c>
      <c r="D40" s="182">
        <v>0</v>
      </c>
      <c r="E40" s="53"/>
      <c r="F40" s="182">
        <v>0</v>
      </c>
      <c r="H40" s="106">
        <f t="shared" si="3"/>
        <v>0</v>
      </c>
      <c r="J40" s="225">
        <f t="shared" si="4"/>
        <v>1</v>
      </c>
      <c r="K40" s="20"/>
      <c r="L40" s="57"/>
      <c r="M40" s="22"/>
    </row>
    <row r="41" spans="1:13" ht="12">
      <c r="A41" s="18"/>
      <c r="B41" s="5" t="s">
        <v>138</v>
      </c>
      <c r="D41" s="182">
        <v>25381200</v>
      </c>
      <c r="E41" s="53"/>
      <c r="F41" s="182">
        <v>25381200</v>
      </c>
      <c r="H41" s="106">
        <f t="shared" si="3"/>
        <v>0</v>
      </c>
      <c r="J41" s="225">
        <f t="shared" si="4"/>
        <v>0</v>
      </c>
      <c r="K41" s="20"/>
      <c r="L41" s="57"/>
      <c r="M41" s="22"/>
    </row>
    <row r="42" spans="1:13" ht="12">
      <c r="A42" s="18"/>
      <c r="B42" s="5" t="s">
        <v>139</v>
      </c>
      <c r="D42" s="182">
        <v>169712126</v>
      </c>
      <c r="E42" s="53"/>
      <c r="F42" s="182">
        <v>169712126</v>
      </c>
      <c r="H42" s="106">
        <f t="shared" si="3"/>
        <v>0</v>
      </c>
      <c r="J42" s="225">
        <f t="shared" si="4"/>
        <v>0</v>
      </c>
      <c r="K42" s="20"/>
      <c r="L42" s="57"/>
      <c r="M42" s="22"/>
    </row>
    <row r="43" spans="1:13" ht="12">
      <c r="A43" s="18"/>
      <c r="B43" s="5" t="s">
        <v>140</v>
      </c>
      <c r="D43" s="182">
        <v>602205411</v>
      </c>
      <c r="E43" s="53"/>
      <c r="F43" s="182">
        <v>574910611</v>
      </c>
      <c r="H43" s="106">
        <f t="shared" si="3"/>
        <v>27294800</v>
      </c>
      <c r="J43" s="225">
        <f t="shared" si="4"/>
        <v>0.04747659806195506</v>
      </c>
      <c r="K43" s="20"/>
      <c r="L43" s="57"/>
      <c r="M43" s="22"/>
    </row>
    <row r="44" spans="1:13" ht="12">
      <c r="A44" s="18"/>
      <c r="B44" s="5" t="s">
        <v>141</v>
      </c>
      <c r="D44" s="182">
        <v>167590475.99</v>
      </c>
      <c r="E44" s="53"/>
      <c r="F44" s="182">
        <v>162061475.99</v>
      </c>
      <c r="H44" s="106">
        <f t="shared" si="3"/>
        <v>5529000</v>
      </c>
      <c r="J44" s="225">
        <f t="shared" si="4"/>
        <v>0.03411668298233422</v>
      </c>
      <c r="K44" s="20"/>
      <c r="L44" s="57"/>
      <c r="M44" s="22"/>
    </row>
    <row r="45" spans="1:13" ht="12">
      <c r="A45" s="18"/>
      <c r="B45" s="5" t="s">
        <v>142</v>
      </c>
      <c r="D45" s="182">
        <v>154433779</v>
      </c>
      <c r="E45" s="53"/>
      <c r="F45" s="182">
        <v>137183779</v>
      </c>
      <c r="H45" s="106">
        <f t="shared" si="3"/>
        <v>17250000</v>
      </c>
      <c r="J45" s="225">
        <f t="shared" si="4"/>
        <v>0.12574372951192722</v>
      </c>
      <c r="K45" s="20"/>
      <c r="L45" s="57"/>
      <c r="M45" s="22"/>
    </row>
    <row r="46" spans="1:13" ht="12">
      <c r="A46" s="18"/>
      <c r="B46" s="5" t="s">
        <v>143</v>
      </c>
      <c r="D46" s="182">
        <v>329568000</v>
      </c>
      <c r="E46" s="53"/>
      <c r="F46" s="182">
        <v>329568000</v>
      </c>
      <c r="H46" s="106">
        <f t="shared" si="3"/>
        <v>0</v>
      </c>
      <c r="J46" s="225">
        <f t="shared" si="4"/>
        <v>0</v>
      </c>
      <c r="K46" s="20"/>
      <c r="L46" s="57"/>
      <c r="M46" s="22"/>
    </row>
    <row r="47" spans="1:13" ht="12">
      <c r="A47" s="18"/>
      <c r="B47" s="5" t="s">
        <v>144</v>
      </c>
      <c r="D47" s="182">
        <v>113642402</v>
      </c>
      <c r="E47" s="53"/>
      <c r="F47" s="182">
        <v>113642402</v>
      </c>
      <c r="H47" s="106">
        <f t="shared" si="3"/>
        <v>0</v>
      </c>
      <c r="J47" s="225">
        <f t="shared" si="4"/>
        <v>0</v>
      </c>
      <c r="K47" s="20"/>
      <c r="L47" s="57"/>
      <c r="M47" s="22"/>
    </row>
    <row r="48" spans="1:13" ht="12">
      <c r="A48" s="18"/>
      <c r="B48" s="5" t="s">
        <v>145</v>
      </c>
      <c r="D48" s="182">
        <v>-922151079.57</v>
      </c>
      <c r="E48" s="53"/>
      <c r="F48" s="182">
        <v>-790979585.03</v>
      </c>
      <c r="H48" s="106">
        <f t="shared" si="3"/>
        <v>-131171494.54000008</v>
      </c>
      <c r="J48" s="225">
        <f t="shared" si="4"/>
        <v>0.16583423519713858</v>
      </c>
      <c r="K48" s="20"/>
      <c r="L48" s="57"/>
      <c r="M48" s="22"/>
    </row>
    <row r="49" spans="1:13" s="30" customFormat="1" ht="12">
      <c r="A49" s="179"/>
      <c r="B49" s="30" t="s">
        <v>232</v>
      </c>
      <c r="C49" s="179"/>
      <c r="D49" s="209">
        <f>+D50</f>
        <v>523445145.94</v>
      </c>
      <c r="E49" s="210"/>
      <c r="F49" s="211">
        <f>+F50</f>
        <v>523445145.94</v>
      </c>
      <c r="G49" s="246"/>
      <c r="H49" s="247">
        <f t="shared" si="3"/>
        <v>0</v>
      </c>
      <c r="I49" s="246"/>
      <c r="J49" s="248">
        <f t="shared" si="4"/>
        <v>0</v>
      </c>
      <c r="K49" s="206"/>
      <c r="L49" s="207"/>
      <c r="M49" s="208"/>
    </row>
    <row r="50" spans="1:13" ht="12">
      <c r="A50" s="18"/>
      <c r="B50" s="5" t="s">
        <v>233</v>
      </c>
      <c r="D50" s="185">
        <v>523445145.94</v>
      </c>
      <c r="E50" s="53"/>
      <c r="F50" s="185">
        <v>523445145.94</v>
      </c>
      <c r="H50" s="106">
        <f t="shared" si="3"/>
        <v>0</v>
      </c>
      <c r="J50" s="225">
        <f t="shared" si="4"/>
        <v>0</v>
      </c>
      <c r="K50" s="20"/>
      <c r="L50" s="57"/>
      <c r="M50" s="22"/>
    </row>
    <row r="51" spans="1:13" s="30" customFormat="1" ht="12">
      <c r="A51" s="179"/>
      <c r="B51" s="30" t="s">
        <v>147</v>
      </c>
      <c r="C51" s="179"/>
      <c r="D51" s="204">
        <f>SUM(D52:D57)</f>
        <v>500676461.08</v>
      </c>
      <c r="E51" s="204"/>
      <c r="F51" s="205">
        <f>SUM(F52:F57)</f>
        <v>394808573.8</v>
      </c>
      <c r="G51" s="246"/>
      <c r="H51" s="247">
        <f t="shared" si="3"/>
        <v>105867887.27999997</v>
      </c>
      <c r="I51" s="246"/>
      <c r="J51" s="248">
        <f t="shared" si="4"/>
        <v>0.26814991949397216</v>
      </c>
      <c r="K51" s="206"/>
      <c r="L51" s="207"/>
      <c r="M51" s="208"/>
    </row>
    <row r="52" spans="1:13" ht="12">
      <c r="A52" s="18"/>
      <c r="B52" s="5" t="s">
        <v>148</v>
      </c>
      <c r="D52" s="182">
        <v>16005254</v>
      </c>
      <c r="E52" s="53"/>
      <c r="F52" s="182">
        <v>9936867</v>
      </c>
      <c r="H52" s="106">
        <f t="shared" si="3"/>
        <v>6068387</v>
      </c>
      <c r="J52" s="225">
        <f t="shared" si="4"/>
        <v>0.610694195665495</v>
      </c>
      <c r="K52" s="20"/>
      <c r="L52" s="57"/>
      <c r="M52" s="22"/>
    </row>
    <row r="53" spans="1:13" ht="12">
      <c r="A53" s="18"/>
      <c r="B53" s="5" t="s">
        <v>149</v>
      </c>
      <c r="D53" s="182">
        <v>47647068.28</v>
      </c>
      <c r="E53" s="53"/>
      <c r="F53" s="182">
        <v>58847568</v>
      </c>
      <c r="H53" s="106">
        <f t="shared" si="3"/>
        <v>-11200499.719999999</v>
      </c>
      <c r="J53" s="225">
        <f t="shared" si="4"/>
        <v>-0.19033071545114658</v>
      </c>
      <c r="K53" s="20"/>
      <c r="L53" s="57"/>
      <c r="M53" s="22"/>
    </row>
    <row r="54" spans="1:13" ht="12">
      <c r="A54" s="18"/>
      <c r="B54" s="5" t="s">
        <v>150</v>
      </c>
      <c r="D54" s="182">
        <v>8125838.8</v>
      </c>
      <c r="E54" s="53"/>
      <c r="F54" s="182">
        <v>8125838.8</v>
      </c>
      <c r="H54" s="106">
        <f t="shared" si="3"/>
        <v>0</v>
      </c>
      <c r="J54" s="225">
        <f t="shared" si="4"/>
        <v>0</v>
      </c>
      <c r="K54" s="20"/>
      <c r="L54" s="57"/>
      <c r="M54" s="22"/>
    </row>
    <row r="55" spans="1:13" ht="12">
      <c r="A55" s="18"/>
      <c r="B55" s="5" t="s">
        <v>151</v>
      </c>
      <c r="D55" s="182">
        <v>250465481</v>
      </c>
      <c r="E55" s="53"/>
      <c r="F55" s="182">
        <v>139465481</v>
      </c>
      <c r="H55" s="106">
        <f t="shared" si="3"/>
        <v>111000000</v>
      </c>
      <c r="J55" s="225">
        <f t="shared" si="4"/>
        <v>0.7958958675946487</v>
      </c>
      <c r="K55" s="20"/>
      <c r="L55" s="57"/>
      <c r="M55" s="22"/>
    </row>
    <row r="56" spans="1:13" ht="12">
      <c r="A56" s="18"/>
      <c r="B56" s="5" t="s">
        <v>152</v>
      </c>
      <c r="D56" s="182">
        <v>-139465481</v>
      </c>
      <c r="E56" s="53"/>
      <c r="F56" s="182">
        <v>-139465481</v>
      </c>
      <c r="H56" s="106">
        <f t="shared" si="3"/>
        <v>0</v>
      </c>
      <c r="J56" s="225">
        <f t="shared" si="4"/>
        <v>0</v>
      </c>
      <c r="K56" s="20"/>
      <c r="L56" s="57"/>
      <c r="M56" s="22"/>
    </row>
    <row r="57" spans="1:13" ht="12">
      <c r="A57" s="18"/>
      <c r="B57" s="5" t="s">
        <v>153</v>
      </c>
      <c r="D57" s="182">
        <v>317898300</v>
      </c>
      <c r="E57" s="53"/>
      <c r="F57" s="182">
        <v>317898300</v>
      </c>
      <c r="H57" s="106">
        <f t="shared" si="3"/>
        <v>0</v>
      </c>
      <c r="J57" s="225">
        <f t="shared" si="4"/>
        <v>0</v>
      </c>
      <c r="K57" s="20"/>
      <c r="L57" s="57"/>
      <c r="M57" s="22"/>
    </row>
    <row r="58" spans="1:13" ht="12.75" thickBot="1">
      <c r="A58" s="18"/>
      <c r="D58" s="21"/>
      <c r="E58" s="53"/>
      <c r="F58" s="99"/>
      <c r="H58" s="101">
        <f>+F58-D58</f>
        <v>0</v>
      </c>
      <c r="J58" s="103"/>
      <c r="K58" s="20"/>
      <c r="L58" s="57"/>
      <c r="M58" s="22"/>
    </row>
    <row r="59" spans="1:13" ht="12">
      <c r="A59" s="18"/>
      <c r="D59" s="20"/>
      <c r="E59" s="53"/>
      <c r="F59" s="104"/>
      <c r="J59" s="102"/>
      <c r="K59" s="20"/>
      <c r="L59" s="57"/>
      <c r="M59" s="22"/>
    </row>
    <row r="60" spans="1:13" ht="12.75" thickBot="1">
      <c r="A60" s="18"/>
      <c r="B60" s="12" t="s">
        <v>34</v>
      </c>
      <c r="D60" s="75">
        <f>SUM(D11+D34)</f>
        <v>4714311247.059999</v>
      </c>
      <c r="E60" s="76"/>
      <c r="F60" s="183">
        <f>SUM(F11+F34)</f>
        <v>5015722966.81</v>
      </c>
      <c r="G60" s="217"/>
      <c r="H60" s="240">
        <f>+D60-F60</f>
        <v>-301411719.75000095</v>
      </c>
      <c r="I60" s="217"/>
      <c r="J60" s="228">
        <f>IF(F60=0,1,(H60/F60))</f>
        <v>-0.06009337472274686</v>
      </c>
      <c r="K60" s="20"/>
      <c r="L60" s="57"/>
      <c r="M60" s="22"/>
    </row>
    <row r="61" spans="1:13" ht="12.75" thickTop="1">
      <c r="A61" s="18"/>
      <c r="D61" s="20"/>
      <c r="E61" s="62"/>
      <c r="F61" s="104"/>
      <c r="H61" s="105"/>
      <c r="J61" s="249"/>
      <c r="K61" s="20"/>
      <c r="L61" s="57"/>
      <c r="M61" s="22"/>
    </row>
    <row r="62" spans="1:13" ht="12">
      <c r="A62" s="18"/>
      <c r="B62" s="12" t="s">
        <v>35</v>
      </c>
      <c r="D62" s="20">
        <f>SUM(D64:D66)</f>
        <v>0</v>
      </c>
      <c r="E62" s="20"/>
      <c r="F62" s="104">
        <f>SUM(F64:F66)</f>
        <v>0</v>
      </c>
      <c r="H62" s="106">
        <f>+D62-F62</f>
        <v>0</v>
      </c>
      <c r="J62" s="225"/>
      <c r="K62" s="20"/>
      <c r="L62" s="57"/>
      <c r="M62" s="22"/>
    </row>
    <row r="63" spans="1:13" ht="12">
      <c r="A63" s="18"/>
      <c r="D63" s="20"/>
      <c r="E63" s="62"/>
      <c r="F63" s="104"/>
      <c r="H63" s="98">
        <f>+D63-F63</f>
        <v>0</v>
      </c>
      <c r="J63" s="250"/>
      <c r="K63" s="20"/>
      <c r="L63" s="57"/>
      <c r="M63" s="22"/>
    </row>
    <row r="64" spans="1:13" ht="12">
      <c r="A64" s="18"/>
      <c r="B64" s="5" t="s">
        <v>154</v>
      </c>
      <c r="D64" s="104">
        <v>152878659</v>
      </c>
      <c r="E64" s="62"/>
      <c r="F64" s="104">
        <v>152878659</v>
      </c>
      <c r="H64" s="106">
        <f>+D64-F64</f>
        <v>0</v>
      </c>
      <c r="J64" s="225">
        <f>IF(F64=0,1,(H64/F64))</f>
        <v>0</v>
      </c>
      <c r="K64" s="20"/>
      <c r="L64" s="57"/>
      <c r="M64" s="22"/>
    </row>
    <row r="65" spans="1:13" ht="12">
      <c r="A65" s="18"/>
      <c r="B65" s="5" t="s">
        <v>36</v>
      </c>
      <c r="D65" s="104">
        <v>21889019.58</v>
      </c>
      <c r="E65" s="62"/>
      <c r="F65" s="104">
        <v>21145017.73</v>
      </c>
      <c r="H65" s="106">
        <f>+D65-F65</f>
        <v>744001.8499999978</v>
      </c>
      <c r="J65" s="225">
        <f>IF(F65=0,1,(H65/F65))</f>
        <v>0.035185681066818277</v>
      </c>
      <c r="K65" s="20"/>
      <c r="L65" s="57"/>
      <c r="M65" s="22"/>
    </row>
    <row r="66" spans="1:13" ht="12.75" thickBot="1">
      <c r="A66" s="18"/>
      <c r="B66" s="5" t="s">
        <v>155</v>
      </c>
      <c r="D66" s="21">
        <f>-D64-D65</f>
        <v>-174767678.57999998</v>
      </c>
      <c r="E66" s="62"/>
      <c r="F66" s="99">
        <f>-F64-F65</f>
        <v>-174023676.73</v>
      </c>
      <c r="H66" s="101">
        <f>+D66-F66</f>
        <v>-744001.849999994</v>
      </c>
      <c r="J66" s="103">
        <f>IF(F66=0,1,(H66/F66))</f>
        <v>0.004275290948796138</v>
      </c>
      <c r="K66" s="20"/>
      <c r="L66" s="57"/>
      <c r="M66" s="22"/>
    </row>
    <row r="67" spans="1:13" ht="12">
      <c r="A67" s="18"/>
      <c r="D67" s="20"/>
      <c r="E67" s="62"/>
      <c r="F67" s="104"/>
      <c r="K67" s="20"/>
      <c r="L67" s="57"/>
      <c r="M67" s="22"/>
    </row>
    <row r="68" spans="1:13" ht="12">
      <c r="A68" s="18"/>
      <c r="D68" s="20"/>
      <c r="E68" s="62"/>
      <c r="F68" s="104"/>
      <c r="K68" s="20"/>
      <c r="L68" s="57"/>
      <c r="M68" s="22"/>
    </row>
    <row r="69" spans="1:13" ht="12">
      <c r="A69" s="18"/>
      <c r="B69" s="30" t="s">
        <v>37</v>
      </c>
      <c r="E69" s="53"/>
      <c r="F69" s="182"/>
      <c r="K69" s="20"/>
      <c r="L69" s="57"/>
      <c r="M69" s="22"/>
    </row>
    <row r="70" spans="1:13" ht="12">
      <c r="A70" s="18"/>
      <c r="E70" s="53"/>
      <c r="F70" s="182"/>
      <c r="K70" s="20"/>
      <c r="L70" s="57"/>
      <c r="M70" s="22"/>
    </row>
    <row r="71" spans="1:13" s="12" customFormat="1" ht="12">
      <c r="A71" s="25"/>
      <c r="B71" s="12" t="s">
        <v>25</v>
      </c>
      <c r="C71" s="25"/>
      <c r="D71" s="88">
        <f>+D73+D80+D83+D85</f>
        <v>534813678.21</v>
      </c>
      <c r="E71" s="88"/>
      <c r="F71" s="181">
        <f>+F73+F80+F83+F85</f>
        <v>553759645.57</v>
      </c>
      <c r="G71" s="217"/>
      <c r="H71" s="239">
        <f aca="true" t="shared" si="5" ref="H71:H87">+D71-F71</f>
        <v>-18945967.360000074</v>
      </c>
      <c r="I71" s="217"/>
      <c r="J71" s="219">
        <f>IF(F71=0,1,(H71/F71))</f>
        <v>-0.03421334059201527</v>
      </c>
      <c r="K71" s="91"/>
      <c r="L71" s="93"/>
      <c r="M71" s="92"/>
    </row>
    <row r="72" spans="1:13" ht="12">
      <c r="A72" s="18"/>
      <c r="E72" s="53"/>
      <c r="F72" s="182"/>
      <c r="H72" s="98">
        <f t="shared" si="5"/>
        <v>0</v>
      </c>
      <c r="K72" s="20"/>
      <c r="L72" s="57"/>
      <c r="M72" s="22"/>
    </row>
    <row r="73" spans="1:13" s="30" customFormat="1" ht="12">
      <c r="A73" s="179"/>
      <c r="B73" s="30" t="s">
        <v>156</v>
      </c>
      <c r="C73" s="179"/>
      <c r="D73" s="204">
        <f>SUM(D74:D79)</f>
        <v>71717567.32</v>
      </c>
      <c r="E73" s="204"/>
      <c r="F73" s="205">
        <f>SUM(F74:F79)</f>
        <v>67121123.1</v>
      </c>
      <c r="G73" s="246"/>
      <c r="H73" s="247">
        <f t="shared" si="5"/>
        <v>4596444.219999999</v>
      </c>
      <c r="I73" s="246"/>
      <c r="J73" s="248">
        <f aca="true" t="shared" si="6" ref="J73:J87">IF(F73=0,1,(H73/F73))</f>
        <v>0.06847984669672488</v>
      </c>
      <c r="K73" s="206"/>
      <c r="L73" s="207"/>
      <c r="M73" s="208"/>
    </row>
    <row r="74" spans="1:13" ht="12">
      <c r="A74" s="18"/>
      <c r="B74" s="5" t="s">
        <v>157</v>
      </c>
      <c r="D74" s="17">
        <v>0</v>
      </c>
      <c r="E74" s="53"/>
      <c r="F74" s="182">
        <v>0</v>
      </c>
      <c r="H74" s="106">
        <f t="shared" si="5"/>
        <v>0</v>
      </c>
      <c r="J74" s="225">
        <f t="shared" si="6"/>
        <v>1</v>
      </c>
      <c r="K74" s="20"/>
      <c r="L74" s="57"/>
      <c r="M74" s="22"/>
    </row>
    <row r="75" spans="1:13" ht="12">
      <c r="A75" s="18"/>
      <c r="B75" s="5" t="s">
        <v>158</v>
      </c>
      <c r="D75" s="182">
        <v>41930293.3</v>
      </c>
      <c r="E75" s="53"/>
      <c r="F75" s="182">
        <v>36578875.3</v>
      </c>
      <c r="H75" s="106">
        <f t="shared" si="5"/>
        <v>5351418</v>
      </c>
      <c r="J75" s="225">
        <f t="shared" si="6"/>
        <v>0.14629804651210807</v>
      </c>
      <c r="K75" s="20"/>
      <c r="L75" s="57"/>
      <c r="M75" s="22"/>
    </row>
    <row r="76" spans="1:13" ht="12">
      <c r="A76" s="18"/>
      <c r="B76" s="5" t="s">
        <v>159</v>
      </c>
      <c r="D76" s="182">
        <v>19802553.02</v>
      </c>
      <c r="E76" s="53"/>
      <c r="F76" s="182">
        <v>22709825.8</v>
      </c>
      <c r="H76" s="106">
        <f t="shared" si="5"/>
        <v>-2907272.780000001</v>
      </c>
      <c r="J76" s="225">
        <f t="shared" si="6"/>
        <v>-0.1280182774453515</v>
      </c>
      <c r="K76" s="20"/>
      <c r="L76" s="57"/>
      <c r="M76" s="22"/>
    </row>
    <row r="77" spans="1:13" ht="12">
      <c r="A77" s="18"/>
      <c r="B77" s="5" t="s">
        <v>234</v>
      </c>
      <c r="D77" s="182">
        <v>9184317</v>
      </c>
      <c r="E77" s="53"/>
      <c r="F77" s="182">
        <v>7032018</v>
      </c>
      <c r="H77" s="106">
        <f t="shared" si="5"/>
        <v>2152299</v>
      </c>
      <c r="J77" s="225">
        <f t="shared" si="6"/>
        <v>0.3060713155171105</v>
      </c>
      <c r="K77" s="20"/>
      <c r="L77" s="57"/>
      <c r="M77" s="22"/>
    </row>
    <row r="78" spans="1:13" ht="12">
      <c r="A78" s="18"/>
      <c r="B78" s="5" t="s">
        <v>244</v>
      </c>
      <c r="D78" s="182">
        <v>800404</v>
      </c>
      <c r="E78" s="53"/>
      <c r="F78" s="182">
        <v>800404</v>
      </c>
      <c r="H78" s="106">
        <f t="shared" si="5"/>
        <v>0</v>
      </c>
      <c r="J78" s="225">
        <f t="shared" si="6"/>
        <v>0</v>
      </c>
      <c r="K78" s="20"/>
      <c r="L78" s="57"/>
      <c r="M78" s="22"/>
    </row>
    <row r="79" spans="1:13" ht="12">
      <c r="A79" s="18"/>
      <c r="B79" s="5" t="s">
        <v>160</v>
      </c>
      <c r="D79" s="17">
        <v>0</v>
      </c>
      <c r="E79" s="53"/>
      <c r="F79" s="182">
        <v>0</v>
      </c>
      <c r="H79" s="106">
        <f t="shared" si="5"/>
        <v>0</v>
      </c>
      <c r="J79" s="225"/>
      <c r="K79" s="20"/>
      <c r="L79" s="57"/>
      <c r="M79" s="22"/>
    </row>
    <row r="80" spans="1:13" s="30" customFormat="1" ht="12">
      <c r="A80" s="179"/>
      <c r="B80" s="30" t="s">
        <v>161</v>
      </c>
      <c r="C80" s="179"/>
      <c r="D80" s="204">
        <f>SUM(D81:D82)</f>
        <v>83578471</v>
      </c>
      <c r="E80" s="204"/>
      <c r="F80" s="205">
        <f>SUM(F81:F82)</f>
        <v>72189092</v>
      </c>
      <c r="G80" s="246"/>
      <c r="H80" s="247">
        <f t="shared" si="5"/>
        <v>11389379</v>
      </c>
      <c r="I80" s="246"/>
      <c r="J80" s="248">
        <f t="shared" si="6"/>
        <v>0.15777146774473905</v>
      </c>
      <c r="K80" s="206"/>
      <c r="L80" s="207"/>
      <c r="M80" s="208"/>
    </row>
    <row r="81" spans="1:13" ht="12">
      <c r="A81" s="18"/>
      <c r="B81" s="5" t="s">
        <v>163</v>
      </c>
      <c r="D81" s="182">
        <v>83578471</v>
      </c>
      <c r="E81" s="53"/>
      <c r="F81" s="182">
        <v>72189092</v>
      </c>
      <c r="H81" s="106">
        <f t="shared" si="5"/>
        <v>11389379</v>
      </c>
      <c r="J81" s="225">
        <f t="shared" si="6"/>
        <v>0.15777146774473905</v>
      </c>
      <c r="K81" s="20"/>
      <c r="L81" s="57"/>
      <c r="M81" s="22"/>
    </row>
    <row r="82" spans="1:13" ht="12">
      <c r="A82" s="18"/>
      <c r="B82" s="5" t="s">
        <v>164</v>
      </c>
      <c r="D82" s="17">
        <v>0</v>
      </c>
      <c r="E82" s="53"/>
      <c r="F82" s="182">
        <v>0</v>
      </c>
      <c r="H82" s="106">
        <f t="shared" si="5"/>
        <v>0</v>
      </c>
      <c r="J82" s="225"/>
      <c r="K82" s="20"/>
      <c r="L82" s="57"/>
      <c r="M82" s="22"/>
    </row>
    <row r="83" spans="1:13" s="30" customFormat="1" ht="12">
      <c r="A83" s="179"/>
      <c r="B83" s="30" t="s">
        <v>165</v>
      </c>
      <c r="C83" s="179"/>
      <c r="D83" s="204">
        <f>+D84</f>
        <v>300372182</v>
      </c>
      <c r="E83" s="210"/>
      <c r="F83" s="205">
        <f>+F84</f>
        <v>300372182</v>
      </c>
      <c r="G83" s="246"/>
      <c r="H83" s="247">
        <f t="shared" si="5"/>
        <v>0</v>
      </c>
      <c r="I83" s="246"/>
      <c r="J83" s="248"/>
      <c r="K83" s="206"/>
      <c r="L83" s="207"/>
      <c r="M83" s="208"/>
    </row>
    <row r="84" spans="1:13" ht="12">
      <c r="A84" s="18"/>
      <c r="B84" s="5" t="s">
        <v>245</v>
      </c>
      <c r="D84" s="17">
        <v>300372182</v>
      </c>
      <c r="E84" s="53"/>
      <c r="F84" s="182">
        <v>300372182</v>
      </c>
      <c r="H84" s="106">
        <f t="shared" si="5"/>
        <v>0</v>
      </c>
      <c r="J84" s="225"/>
      <c r="K84" s="20"/>
      <c r="L84" s="57"/>
      <c r="M84" s="22"/>
    </row>
    <row r="85" spans="1:13" s="30" customFormat="1" ht="12">
      <c r="A85" s="179"/>
      <c r="B85" s="30" t="s">
        <v>168</v>
      </c>
      <c r="C85" s="179"/>
      <c r="D85" s="204">
        <f>SUM(D86:D87)</f>
        <v>79145457.89</v>
      </c>
      <c r="E85" s="204"/>
      <c r="F85" s="205">
        <f>SUM(F86:F87)</f>
        <v>114077248.47</v>
      </c>
      <c r="G85" s="246"/>
      <c r="H85" s="247">
        <f t="shared" si="5"/>
        <v>-34931790.58</v>
      </c>
      <c r="I85" s="246"/>
      <c r="J85" s="248">
        <f t="shared" si="6"/>
        <v>-0.3062117209917309</v>
      </c>
      <c r="K85" s="206"/>
      <c r="L85" s="207"/>
      <c r="M85" s="208"/>
    </row>
    <row r="86" spans="1:13" ht="12">
      <c r="A86" s="18"/>
      <c r="B86" s="5" t="s">
        <v>166</v>
      </c>
      <c r="D86" s="182">
        <v>6379949.61</v>
      </c>
      <c r="E86" s="53"/>
      <c r="F86" s="182">
        <v>112432903</v>
      </c>
      <c r="H86" s="106">
        <f t="shared" si="5"/>
        <v>-106052953.39</v>
      </c>
      <c r="J86" s="225">
        <f t="shared" si="6"/>
        <v>-0.9432554933674532</v>
      </c>
      <c r="K86" s="20"/>
      <c r="L86" s="57"/>
      <c r="M86" s="22"/>
    </row>
    <row r="87" spans="1:13" ht="12">
      <c r="A87" s="18"/>
      <c r="B87" s="5" t="s">
        <v>167</v>
      </c>
      <c r="D87" s="182">
        <v>72765508.28</v>
      </c>
      <c r="E87" s="53"/>
      <c r="F87" s="182">
        <v>1644345.47</v>
      </c>
      <c r="H87" s="106">
        <f t="shared" si="5"/>
        <v>71121162.81</v>
      </c>
      <c r="J87" s="225">
        <f t="shared" si="6"/>
        <v>43.25195897550653</v>
      </c>
      <c r="K87" s="20"/>
      <c r="L87" s="57"/>
      <c r="M87" s="22"/>
    </row>
    <row r="88" spans="1:13" ht="12.75" thickBot="1">
      <c r="A88" s="18"/>
      <c r="D88" s="21"/>
      <c r="E88" s="66"/>
      <c r="F88" s="99"/>
      <c r="G88" s="102"/>
      <c r="H88" s="101">
        <f>+F88-D88</f>
        <v>0</v>
      </c>
      <c r="I88" s="102"/>
      <c r="J88" s="103"/>
      <c r="K88" s="20"/>
      <c r="L88" s="57"/>
      <c r="M88" s="22"/>
    </row>
    <row r="89" spans="1:13" ht="12">
      <c r="A89" s="18"/>
      <c r="E89" s="53"/>
      <c r="F89" s="182"/>
      <c r="K89" s="20"/>
      <c r="L89" s="57"/>
      <c r="M89" s="22"/>
    </row>
    <row r="90" spans="1:13" s="12" customFormat="1" ht="12">
      <c r="A90" s="25"/>
      <c r="B90" s="12" t="s">
        <v>30</v>
      </c>
      <c r="C90" s="25"/>
      <c r="D90" s="88">
        <f>SUM(D92:D93)</f>
        <v>0</v>
      </c>
      <c r="E90" s="74"/>
      <c r="F90" s="181">
        <f>SUM(F92:F93)</f>
        <v>0</v>
      </c>
      <c r="G90" s="217"/>
      <c r="H90" s="239">
        <f>SUM(D90-F90)</f>
        <v>0</v>
      </c>
      <c r="I90" s="217"/>
      <c r="J90" s="219"/>
      <c r="K90" s="91"/>
      <c r="L90" s="93"/>
      <c r="M90" s="92"/>
    </row>
    <row r="91" spans="1:13" ht="12">
      <c r="A91" s="18"/>
      <c r="E91" s="53"/>
      <c r="F91" s="182"/>
      <c r="H91" s="106"/>
      <c r="J91" s="225"/>
      <c r="K91" s="20"/>
      <c r="L91" s="57"/>
      <c r="M91" s="22"/>
    </row>
    <row r="92" spans="1:13" ht="12">
      <c r="A92" s="18"/>
      <c r="B92" s="5" t="s">
        <v>39</v>
      </c>
      <c r="D92" s="17">
        <v>0</v>
      </c>
      <c r="E92" s="53"/>
      <c r="F92" s="182">
        <v>0</v>
      </c>
      <c r="H92" s="106">
        <f>SUM(D92-F92)</f>
        <v>0</v>
      </c>
      <c r="K92" s="20"/>
      <c r="L92" s="57"/>
      <c r="M92" s="22"/>
    </row>
    <row r="93" spans="1:13" ht="12">
      <c r="A93" s="18"/>
      <c r="B93" s="5" t="s">
        <v>31</v>
      </c>
      <c r="D93" s="17">
        <v>0</v>
      </c>
      <c r="E93" s="53"/>
      <c r="F93" s="182">
        <v>0</v>
      </c>
      <c r="H93" s="106">
        <f>SUM(D93-F93)</f>
        <v>0</v>
      </c>
      <c r="J93" s="225"/>
      <c r="K93" s="20"/>
      <c r="L93" s="57"/>
      <c r="M93" s="22"/>
    </row>
    <row r="94" spans="1:13" ht="12.75" thickBot="1">
      <c r="A94" s="18"/>
      <c r="D94" s="21"/>
      <c r="E94" s="53"/>
      <c r="F94" s="99"/>
      <c r="H94" s="101">
        <f>SUM(D94-F94)</f>
        <v>0</v>
      </c>
      <c r="J94" s="103"/>
      <c r="K94" s="20"/>
      <c r="L94" s="57"/>
      <c r="M94" s="22"/>
    </row>
    <row r="95" spans="1:13" ht="12">
      <c r="A95" s="18"/>
      <c r="D95" s="20"/>
      <c r="E95" s="53"/>
      <c r="F95" s="104"/>
      <c r="H95" s="105"/>
      <c r="J95" s="249"/>
      <c r="K95" s="20"/>
      <c r="L95" s="57"/>
      <c r="M95" s="22"/>
    </row>
    <row r="96" spans="1:13" ht="12.75" thickBot="1">
      <c r="A96" s="18"/>
      <c r="B96" s="12" t="s">
        <v>40</v>
      </c>
      <c r="C96" s="25"/>
      <c r="D96" s="78">
        <f>SUM(D90+D71)</f>
        <v>534813678.21</v>
      </c>
      <c r="E96" s="74"/>
      <c r="F96" s="184">
        <f>SUM(F90+F71)</f>
        <v>553759645.57</v>
      </c>
      <c r="G96" s="217"/>
      <c r="H96" s="241">
        <f>+D96-F96</f>
        <v>-18945967.360000074</v>
      </c>
      <c r="I96" s="217"/>
      <c r="J96" s="230">
        <f>IF(F96=0,1,(H96/F96))</f>
        <v>-0.03421334059201527</v>
      </c>
      <c r="K96" s="20"/>
      <c r="L96" s="57"/>
      <c r="M96" s="22"/>
    </row>
    <row r="97" spans="1:13" ht="12">
      <c r="A97" s="18"/>
      <c r="E97" s="53"/>
      <c r="F97" s="182"/>
      <c r="H97" s="98">
        <f>+F97-D97</f>
        <v>0</v>
      </c>
      <c r="K97" s="20"/>
      <c r="L97" s="57"/>
      <c r="M97" s="22"/>
    </row>
    <row r="98" spans="1:13" ht="12">
      <c r="A98" s="18"/>
      <c r="E98" s="53"/>
      <c r="F98" s="182"/>
      <c r="H98" s="98">
        <f>+F98-D98</f>
        <v>0</v>
      </c>
      <c r="K98" s="20"/>
      <c r="L98" s="57"/>
      <c r="M98" s="22"/>
    </row>
    <row r="99" spans="1:13" s="12" customFormat="1" ht="12">
      <c r="A99" s="25"/>
      <c r="B99" s="12" t="s">
        <v>41</v>
      </c>
      <c r="C99" s="25"/>
      <c r="D99" s="88">
        <f>SUM(D101:D108)</f>
        <v>4179497568.850001</v>
      </c>
      <c r="E99" s="88"/>
      <c r="F99" s="181">
        <f>SUM(F101:F108)</f>
        <v>4461963321.240001</v>
      </c>
      <c r="G99" s="217"/>
      <c r="H99" s="239">
        <f>+D99-F99</f>
        <v>-282465752.38999987</v>
      </c>
      <c r="I99" s="217"/>
      <c r="J99" s="219">
        <f>IF(F99=0,1,(H99/F99))</f>
        <v>-0.06330526094766312</v>
      </c>
      <c r="K99" s="91"/>
      <c r="L99" s="93"/>
      <c r="M99" s="92"/>
    </row>
    <row r="100" spans="1:13" ht="12">
      <c r="A100" s="18"/>
      <c r="E100" s="53"/>
      <c r="F100" s="182"/>
      <c r="H100" s="106">
        <f>+F100-D100</f>
        <v>0</v>
      </c>
      <c r="K100" s="20"/>
      <c r="L100" s="57"/>
      <c r="M100" s="22"/>
    </row>
    <row r="101" spans="1:13" s="30" customFormat="1" ht="12">
      <c r="A101" s="179"/>
      <c r="B101" s="30" t="s">
        <v>169</v>
      </c>
      <c r="C101" s="179"/>
      <c r="D101" s="204">
        <f>SUM(D109:D113)</f>
        <v>4179497568.850001</v>
      </c>
      <c r="E101" s="204"/>
      <c r="F101" s="205">
        <f>SUM(F109:F113)</f>
        <v>4461963321.240001</v>
      </c>
      <c r="G101" s="246"/>
      <c r="H101" s="247">
        <f aca="true" t="shared" si="7" ref="H101:H121">+D101-F101</f>
        <v>-282465752.38999987</v>
      </c>
      <c r="I101" s="246"/>
      <c r="J101" s="248">
        <f aca="true" t="shared" si="8" ref="J101:J109">IF(F101=0,1,(H101/F101))</f>
        <v>-0.06330526094766312</v>
      </c>
      <c r="K101" s="206"/>
      <c r="L101" s="207"/>
      <c r="M101" s="212">
        <v>12971967291</v>
      </c>
    </row>
    <row r="102" spans="1:13" ht="12" hidden="1">
      <c r="A102" s="18"/>
      <c r="B102" s="5" t="s">
        <v>42</v>
      </c>
      <c r="D102" s="17">
        <v>0</v>
      </c>
      <c r="E102" s="53"/>
      <c r="F102" s="182">
        <v>0</v>
      </c>
      <c r="H102" s="106">
        <f t="shared" si="7"/>
        <v>0</v>
      </c>
      <c r="J102" s="225">
        <f t="shared" si="8"/>
        <v>1</v>
      </c>
      <c r="K102" s="20"/>
      <c r="L102" s="57"/>
      <c r="M102" s="22"/>
    </row>
    <row r="103" spans="1:13" ht="12" hidden="1">
      <c r="A103" s="18"/>
      <c r="B103" s="5" t="s">
        <v>43</v>
      </c>
      <c r="D103" s="17">
        <v>0</v>
      </c>
      <c r="E103" s="53"/>
      <c r="F103" s="182">
        <v>0</v>
      </c>
      <c r="H103" s="106">
        <f t="shared" si="7"/>
        <v>0</v>
      </c>
      <c r="J103" s="225">
        <f t="shared" si="8"/>
        <v>1</v>
      </c>
      <c r="K103" s="20"/>
      <c r="L103" s="57"/>
      <c r="M103" s="22"/>
    </row>
    <row r="104" spans="1:14" ht="12" hidden="1">
      <c r="A104" s="18"/>
      <c r="B104" s="5" t="s">
        <v>44</v>
      </c>
      <c r="D104" s="17">
        <v>0</v>
      </c>
      <c r="E104" s="53"/>
      <c r="F104" s="182">
        <v>0</v>
      </c>
      <c r="H104" s="106">
        <f t="shared" si="7"/>
        <v>0</v>
      </c>
      <c r="J104" s="225">
        <f t="shared" si="8"/>
        <v>1</v>
      </c>
      <c r="K104" s="20"/>
      <c r="L104" s="57"/>
      <c r="M104" s="22"/>
      <c r="N104" s="19"/>
    </row>
    <row r="105" spans="1:13" ht="12" hidden="1">
      <c r="A105" s="18"/>
      <c r="B105" s="5" t="s">
        <v>45</v>
      </c>
      <c r="D105" s="17">
        <v>0</v>
      </c>
      <c r="E105" s="53"/>
      <c r="F105" s="182">
        <v>0</v>
      </c>
      <c r="H105" s="106">
        <f t="shared" si="7"/>
        <v>0</v>
      </c>
      <c r="J105" s="225">
        <f t="shared" si="8"/>
        <v>1</v>
      </c>
      <c r="K105" s="20"/>
      <c r="L105" s="57"/>
      <c r="M105" s="22"/>
    </row>
    <row r="106" spans="1:13" ht="12" hidden="1">
      <c r="A106" s="18"/>
      <c r="B106" s="5" t="s">
        <v>46</v>
      </c>
      <c r="D106" s="17">
        <v>0</v>
      </c>
      <c r="E106" s="53"/>
      <c r="F106" s="182">
        <v>0</v>
      </c>
      <c r="H106" s="106">
        <f t="shared" si="7"/>
        <v>0</v>
      </c>
      <c r="J106" s="225">
        <f t="shared" si="8"/>
        <v>1</v>
      </c>
      <c r="K106" s="20"/>
      <c r="L106" s="57"/>
      <c r="M106" s="22"/>
    </row>
    <row r="107" spans="1:13" ht="12" hidden="1">
      <c r="A107" s="18"/>
      <c r="B107" s="5" t="s">
        <v>47</v>
      </c>
      <c r="D107" s="17">
        <v>0</v>
      </c>
      <c r="E107" s="53"/>
      <c r="F107" s="182">
        <v>0</v>
      </c>
      <c r="H107" s="106">
        <f t="shared" si="7"/>
        <v>0</v>
      </c>
      <c r="J107" s="225">
        <f t="shared" si="8"/>
        <v>1</v>
      </c>
      <c r="K107" s="20"/>
      <c r="L107" s="57"/>
      <c r="M107" s="22"/>
    </row>
    <row r="108" spans="1:13" ht="12" hidden="1">
      <c r="A108" s="18"/>
      <c r="B108" s="5" t="s">
        <v>48</v>
      </c>
      <c r="D108" s="17">
        <v>0</v>
      </c>
      <c r="E108" s="53"/>
      <c r="F108" s="182">
        <v>0</v>
      </c>
      <c r="H108" s="106">
        <f t="shared" si="7"/>
        <v>0</v>
      </c>
      <c r="J108" s="225">
        <f t="shared" si="8"/>
        <v>1</v>
      </c>
      <c r="K108" s="20"/>
      <c r="L108" s="57"/>
      <c r="M108" s="22"/>
    </row>
    <row r="109" spans="1:13" ht="12">
      <c r="A109" s="18"/>
      <c r="B109" s="5" t="s">
        <v>170</v>
      </c>
      <c r="D109" s="182">
        <v>4144065021.24</v>
      </c>
      <c r="E109" s="53"/>
      <c r="F109" s="182">
        <v>4368662319.18</v>
      </c>
      <c r="H109" s="106">
        <f t="shared" si="7"/>
        <v>-224597297.94000053</v>
      </c>
      <c r="J109" s="225">
        <f t="shared" si="8"/>
        <v>-0.05141099987379147</v>
      </c>
      <c r="K109" s="20"/>
      <c r="L109" s="57"/>
      <c r="M109" s="22"/>
    </row>
    <row r="110" spans="1:13" ht="12">
      <c r="A110" s="18"/>
      <c r="B110" s="5" t="s">
        <v>171</v>
      </c>
      <c r="D110" s="182">
        <v>0</v>
      </c>
      <c r="E110" s="53"/>
      <c r="F110" s="182">
        <v>0</v>
      </c>
      <c r="H110" s="106">
        <f t="shared" si="7"/>
        <v>0</v>
      </c>
      <c r="J110" s="225"/>
      <c r="K110" s="20"/>
      <c r="L110" s="57"/>
      <c r="M110" s="22"/>
    </row>
    <row r="111" spans="1:13" ht="12">
      <c r="A111" s="18"/>
      <c r="B111" s="5" t="s">
        <v>172</v>
      </c>
      <c r="D111" s="17">
        <f>'ER'!C44</f>
        <v>-284365752.3899988</v>
      </c>
      <c r="E111" s="17"/>
      <c r="F111" s="182">
        <f>'ER'!E44</f>
        <v>-234196769.93999964</v>
      </c>
      <c r="H111" s="106">
        <f t="shared" si="7"/>
        <v>-50168982.44999915</v>
      </c>
      <c r="J111" s="225">
        <f>IF(F111=0,1,(H111/F111))</f>
        <v>0.2142172262360931</v>
      </c>
      <c r="K111" s="20"/>
      <c r="L111" s="57"/>
      <c r="M111" s="22"/>
    </row>
    <row r="112" spans="1:13" ht="12">
      <c r="A112" s="18"/>
      <c r="B112" s="5" t="s">
        <v>173</v>
      </c>
      <c r="D112" s="182">
        <v>317898300</v>
      </c>
      <c r="E112" s="53"/>
      <c r="F112" s="182">
        <v>317898300</v>
      </c>
      <c r="H112" s="106">
        <f t="shared" si="7"/>
        <v>0</v>
      </c>
      <c r="J112" s="225">
        <f>IF(F112=0,1,(H112/F112))</f>
        <v>0</v>
      </c>
      <c r="K112" s="20"/>
      <c r="L112" s="57"/>
      <c r="M112" s="22"/>
    </row>
    <row r="113" spans="1:13" ht="12">
      <c r="A113" s="18"/>
      <c r="B113" s="5" t="s">
        <v>174</v>
      </c>
      <c r="D113" s="182">
        <v>1900000</v>
      </c>
      <c r="E113" s="53"/>
      <c r="F113" s="182">
        <f>9599472</f>
        <v>9599472</v>
      </c>
      <c r="H113" s="106">
        <f t="shared" si="7"/>
        <v>-7699472</v>
      </c>
      <c r="J113" s="225">
        <f>IF(F113=0,1,(H113/F113))</f>
        <v>-0.8020724473179358</v>
      </c>
      <c r="K113" s="20"/>
      <c r="L113" s="57"/>
      <c r="M113" s="22"/>
    </row>
    <row r="114" spans="1:14" ht="12">
      <c r="A114" s="18"/>
      <c r="D114" s="20"/>
      <c r="E114" s="53"/>
      <c r="F114" s="104"/>
      <c r="H114" s="105">
        <f t="shared" si="7"/>
        <v>0</v>
      </c>
      <c r="I114" s="102"/>
      <c r="J114" s="102"/>
      <c r="K114" s="20"/>
      <c r="L114" s="57"/>
      <c r="M114" s="22"/>
      <c r="N114" s="19"/>
    </row>
    <row r="115" spans="1:14" ht="12.75" thickBot="1">
      <c r="A115" s="18"/>
      <c r="B115" s="12" t="s">
        <v>52</v>
      </c>
      <c r="C115" s="25"/>
      <c r="D115" s="75">
        <f>SUM(D96+D99)</f>
        <v>4714311247.06</v>
      </c>
      <c r="E115" s="74"/>
      <c r="F115" s="183">
        <f>SUM(F96+F99)</f>
        <v>5015722966.81</v>
      </c>
      <c r="G115" s="217"/>
      <c r="H115" s="240">
        <f t="shared" si="7"/>
        <v>-301411719.75</v>
      </c>
      <c r="I115" s="217"/>
      <c r="J115" s="228">
        <f>IF(F115=0,1,(H115/F115))</f>
        <v>-0.060093374722746666</v>
      </c>
      <c r="K115" s="20"/>
      <c r="L115" s="22">
        <f>+E115-E60</f>
        <v>0</v>
      </c>
      <c r="M115" s="22">
        <f>+F115-F60</f>
        <v>0</v>
      </c>
      <c r="N115" s="19"/>
    </row>
    <row r="116" spans="1:13" ht="12.75" thickTop="1">
      <c r="A116" s="18"/>
      <c r="E116" s="53"/>
      <c r="F116" s="182"/>
      <c r="H116" s="98">
        <f t="shared" si="7"/>
        <v>0</v>
      </c>
      <c r="K116" s="20"/>
      <c r="L116" s="57"/>
      <c r="M116" s="22"/>
    </row>
    <row r="117" spans="1:13" s="30" customFormat="1" ht="12">
      <c r="A117" s="179"/>
      <c r="B117" s="30" t="s">
        <v>175</v>
      </c>
      <c r="C117" s="179"/>
      <c r="D117" s="206">
        <v>0</v>
      </c>
      <c r="E117" s="213"/>
      <c r="F117" s="214">
        <v>0</v>
      </c>
      <c r="G117" s="246"/>
      <c r="H117" s="247">
        <f t="shared" si="7"/>
        <v>0</v>
      </c>
      <c r="I117" s="246"/>
      <c r="J117" s="248"/>
      <c r="K117" s="206"/>
      <c r="L117" s="207"/>
      <c r="M117" s="208"/>
    </row>
    <row r="118" spans="1:13" ht="12">
      <c r="A118" s="18"/>
      <c r="D118" s="20"/>
      <c r="E118" s="62"/>
      <c r="F118" s="104"/>
      <c r="H118" s="98">
        <f t="shared" si="7"/>
        <v>0</v>
      </c>
      <c r="J118" s="250"/>
      <c r="K118" s="20"/>
      <c r="L118" s="57"/>
      <c r="M118" s="22"/>
    </row>
    <row r="119" spans="1:13" ht="12">
      <c r="A119" s="18"/>
      <c r="B119" s="5" t="s">
        <v>176</v>
      </c>
      <c r="D119" s="104">
        <v>-1501859325</v>
      </c>
      <c r="E119" s="62"/>
      <c r="F119" s="104">
        <v>-590948145</v>
      </c>
      <c r="H119" s="106">
        <f t="shared" si="7"/>
        <v>-910911180</v>
      </c>
      <c r="J119" s="225">
        <f>IF(F119=0,1,(H119/F119))</f>
        <v>1.5414401207740487</v>
      </c>
      <c r="K119" s="20"/>
      <c r="L119" s="57"/>
      <c r="M119" s="22"/>
    </row>
    <row r="120" spans="1:13" ht="12">
      <c r="A120" s="18"/>
      <c r="B120" s="5" t="s">
        <v>177</v>
      </c>
      <c r="D120" s="104">
        <v>-11594000</v>
      </c>
      <c r="E120" s="62"/>
      <c r="F120" s="104">
        <v>-11594000</v>
      </c>
      <c r="H120" s="106">
        <f t="shared" si="7"/>
        <v>0</v>
      </c>
      <c r="J120" s="225">
        <f>IF(F120=0,1,(H120/F120))</f>
        <v>0</v>
      </c>
      <c r="K120" s="20"/>
      <c r="L120" s="57"/>
      <c r="M120" s="22"/>
    </row>
    <row r="121" spans="1:13" ht="12.75" thickBot="1">
      <c r="A121" s="18"/>
      <c r="B121" s="5" t="s">
        <v>178</v>
      </c>
      <c r="D121" s="21">
        <f>-D119-D120</f>
        <v>1513453325</v>
      </c>
      <c r="E121" s="62"/>
      <c r="F121" s="99">
        <f>-F119-F120</f>
        <v>602542145</v>
      </c>
      <c r="H121" s="101">
        <f t="shared" si="7"/>
        <v>910911180</v>
      </c>
      <c r="J121" s="103">
        <f>IF(F121=0,1,(H121/F121))</f>
        <v>1.5117800266071015</v>
      </c>
      <c r="K121" s="20"/>
      <c r="L121" s="57"/>
      <c r="M121" s="22"/>
    </row>
    <row r="122" spans="1:5" ht="12">
      <c r="A122" s="18"/>
      <c r="D122" s="20"/>
      <c r="E122" s="62"/>
    </row>
    <row r="123" spans="6:11" ht="12">
      <c r="F123" s="182"/>
      <c r="K123" s="17"/>
    </row>
    <row r="124" spans="2:6" ht="12">
      <c r="B124" s="106" t="str">
        <f>+'ER'!A49</f>
        <v>ORIGINAL FIRMADO</v>
      </c>
      <c r="F124" s="185" t="str">
        <f>+B124</f>
        <v>ORIGINAL FIRMADO</v>
      </c>
    </row>
    <row r="125" spans="2:6" ht="12">
      <c r="B125" s="12" t="str">
        <f>+'ER'!A50</f>
        <v>MIRIAN ROCIO CARREÑO GUTIERREZ</v>
      </c>
      <c r="C125" s="25"/>
      <c r="D125" s="88"/>
      <c r="E125" s="12"/>
      <c r="F125" s="187" t="str">
        <f>+'ER'!E50</f>
        <v>DIEGO FERNANDO MANCILLA LEON</v>
      </c>
    </row>
    <row r="126" spans="2:6" ht="12">
      <c r="B126" s="12" t="str">
        <f>+'ER'!A51</f>
        <v>REPRESENTANTE LEGAL ( E )</v>
      </c>
      <c r="C126" s="25"/>
      <c r="D126" s="88"/>
      <c r="E126" s="12"/>
      <c r="F126" s="187" t="str">
        <f>+'ER'!E51</f>
        <v>REVISOR FISCAL</v>
      </c>
    </row>
    <row r="127" spans="2:6" ht="12">
      <c r="B127" s="12"/>
      <c r="C127" s="25"/>
      <c r="D127" s="88"/>
      <c r="E127" s="12"/>
      <c r="F127" s="187" t="str">
        <f>+'ER'!E52</f>
        <v>T.P. 153902-T</v>
      </c>
    </row>
    <row r="128" spans="2:6" ht="12">
      <c r="B128" s="12"/>
      <c r="C128" s="25"/>
      <c r="D128" s="88"/>
      <c r="E128" s="12"/>
      <c r="F128" s="185" t="str">
        <f>+ANEXO4!G74</f>
        <v>En representacion de la firma </v>
      </c>
    </row>
    <row r="129" spans="2:6" ht="12">
      <c r="B129" s="12"/>
      <c r="C129" s="25"/>
      <c r="D129" s="88"/>
      <c r="E129" s="12"/>
      <c r="F129" s="185" t="str">
        <f>+ANEXO4!G75</f>
        <v>Leones Asociados S.A.S</v>
      </c>
    </row>
    <row r="130" spans="2:6" ht="12">
      <c r="B130" s="106" t="str">
        <f>+B124</f>
        <v>ORIGINAL FIRMADO</v>
      </c>
      <c r="C130" s="25"/>
      <c r="D130" s="88"/>
      <c r="E130" s="12"/>
      <c r="F130" s="185" t="str">
        <f>+ANEXO4!G76</f>
        <v>Ver Opinion Adjunta</v>
      </c>
    </row>
    <row r="131" spans="2:6" ht="12">
      <c r="B131" s="12" t="str">
        <f>+'ER'!A56</f>
        <v>EVER SANCHEZ FIGUEROA</v>
      </c>
      <c r="C131" s="25"/>
      <c r="D131" s="88"/>
      <c r="E131" s="12"/>
      <c r="F131" s="187"/>
    </row>
    <row r="132" spans="2:6" ht="12">
      <c r="B132" s="12" t="str">
        <f>+'ER'!A57</f>
        <v>CONTADOR</v>
      </c>
      <c r="C132" s="25"/>
      <c r="D132" s="88"/>
      <c r="E132" s="12"/>
      <c r="F132" s="187"/>
    </row>
    <row r="133" spans="2:6" ht="12">
      <c r="B133" s="12" t="str">
        <f>+'ER'!A58</f>
        <v>T.P. 134809-T</v>
      </c>
      <c r="C133" s="25"/>
      <c r="D133" s="88"/>
      <c r="E133" s="12"/>
      <c r="F133" s="187"/>
    </row>
    <row r="134" spans="2:6" ht="12">
      <c r="B134" s="12"/>
      <c r="C134" s="25"/>
      <c r="D134" s="88"/>
      <c r="E134" s="12"/>
      <c r="F134" s="187"/>
    </row>
  </sheetData>
  <sheetProtection/>
  <mergeCells count="6">
    <mergeCell ref="B1:J1"/>
    <mergeCell ref="B2:J2"/>
    <mergeCell ref="B3:J3"/>
    <mergeCell ref="B4:J4"/>
    <mergeCell ref="B5:J5"/>
    <mergeCell ref="B6:J6"/>
  </mergeCells>
  <printOptions/>
  <pageMargins left="0.7" right="0.7" top="0.75" bottom="0.75" header="0.3" footer="0.3"/>
  <pageSetup horizontalDpi="600" verticalDpi="600" orientation="portrait" scale="80" r:id="rId2"/>
  <rowBreaks count="1" manualBreakCount="1">
    <brk id="68" max="255" man="1"/>
  </rowBreaks>
  <colBreaks count="1" manualBreakCount="1">
    <brk id="1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A15">
      <selection activeCell="H76" sqref="H76"/>
    </sheetView>
  </sheetViews>
  <sheetFormatPr defaultColWidth="11.421875" defaultRowHeight="12.75"/>
  <cols>
    <col min="1" max="1" width="2.8515625" style="5" customWidth="1"/>
    <col min="2" max="2" width="37.28125" style="5" bestFit="1" customWidth="1"/>
    <col min="3" max="3" width="5.140625" style="18" customWidth="1"/>
    <col min="4" max="4" width="23.00390625" style="17" bestFit="1" customWidth="1"/>
    <col min="5" max="5" width="2.00390625" style="5" customWidth="1"/>
    <col min="6" max="6" width="14.421875" style="7" bestFit="1" customWidth="1"/>
    <col min="7" max="7" width="0.85546875" style="5" customWidth="1"/>
    <col min="8" max="8" width="14.421875" style="5" bestFit="1" customWidth="1"/>
    <col min="9" max="9" width="1.421875" style="5" customWidth="1"/>
    <col min="10" max="10" width="10.00390625" style="5" bestFit="1" customWidth="1"/>
    <col min="11" max="11" width="12.57421875" style="7" bestFit="1" customWidth="1"/>
    <col min="12" max="12" width="2.7109375" style="5" bestFit="1" customWidth="1"/>
    <col min="13" max="13" width="14.421875" style="5" bestFit="1" customWidth="1"/>
    <col min="14" max="16384" width="11.421875" style="5" customWidth="1"/>
  </cols>
  <sheetData>
    <row r="1" spans="2:10" ht="12.75">
      <c r="B1" s="255" t="s">
        <v>121</v>
      </c>
      <c r="C1" s="255"/>
      <c r="D1" s="255"/>
      <c r="E1" s="255"/>
      <c r="F1" s="255"/>
      <c r="G1" s="255"/>
      <c r="H1" s="255"/>
      <c r="I1" s="255"/>
      <c r="J1" s="255"/>
    </row>
    <row r="2" spans="2:10" ht="12.75">
      <c r="B2" s="255" t="s">
        <v>118</v>
      </c>
      <c r="C2" s="255"/>
      <c r="D2" s="255"/>
      <c r="E2" s="255"/>
      <c r="F2" s="255"/>
      <c r="G2" s="255"/>
      <c r="H2" s="255"/>
      <c r="I2" s="255"/>
      <c r="J2" s="255"/>
    </row>
    <row r="3" spans="2:10" ht="12.75">
      <c r="B3" s="255" t="s">
        <v>119</v>
      </c>
      <c r="C3" s="255"/>
      <c r="D3" s="255"/>
      <c r="E3" s="255"/>
      <c r="F3" s="255"/>
      <c r="G3" s="255"/>
      <c r="H3" s="255"/>
      <c r="I3" s="255"/>
      <c r="J3" s="255"/>
    </row>
    <row r="4" spans="2:10" ht="12.75">
      <c r="B4" s="255" t="str">
        <f>+ANEXO2!B4</f>
        <v>A DICIEMBRE 31 DE 2015</v>
      </c>
      <c r="C4" s="255"/>
      <c r="D4" s="255"/>
      <c r="E4" s="255"/>
      <c r="F4" s="255"/>
      <c r="G4" s="255"/>
      <c r="H4" s="255"/>
      <c r="I4" s="255"/>
      <c r="J4" s="255"/>
    </row>
    <row r="5" spans="2:10" ht="12">
      <c r="B5" s="256" t="str">
        <f>+'ER'!A5</f>
        <v>VIGILADOS SUPERSALUD</v>
      </c>
      <c r="C5" s="256"/>
      <c r="D5" s="256"/>
      <c r="E5" s="256"/>
      <c r="F5" s="256"/>
      <c r="G5" s="256"/>
      <c r="H5" s="256"/>
      <c r="I5" s="256"/>
      <c r="J5" s="256"/>
    </row>
    <row r="6" spans="2:10" ht="12">
      <c r="B6" s="256" t="s">
        <v>120</v>
      </c>
      <c r="C6" s="256"/>
      <c r="D6" s="256"/>
      <c r="E6" s="256"/>
      <c r="F6" s="256"/>
      <c r="G6" s="256"/>
      <c r="H6" s="256"/>
      <c r="I6" s="256"/>
      <c r="J6" s="256"/>
    </row>
    <row r="8" spans="3:13" ht="12">
      <c r="C8" s="61"/>
      <c r="H8" s="24" t="s">
        <v>21</v>
      </c>
      <c r="I8" s="16"/>
      <c r="J8" s="16"/>
      <c r="K8" s="28"/>
      <c r="L8" s="57"/>
      <c r="M8" s="68"/>
    </row>
    <row r="9" spans="2:13" ht="12">
      <c r="B9" s="30" t="s">
        <v>22</v>
      </c>
      <c r="C9" s="179" t="s">
        <v>1</v>
      </c>
      <c r="D9" s="51" t="str">
        <f>+'ER'!C8</f>
        <v>Diciembre 31/15</v>
      </c>
      <c r="E9" s="74"/>
      <c r="F9" s="51" t="str">
        <f>+'ER'!E8</f>
        <v>Diciemb. 31/14</v>
      </c>
      <c r="H9" s="18" t="s">
        <v>23</v>
      </c>
      <c r="J9" s="18" t="s">
        <v>24</v>
      </c>
      <c r="K9" s="69"/>
      <c r="L9" s="57"/>
      <c r="M9" s="58"/>
    </row>
    <row r="10" spans="5:13" ht="12">
      <c r="E10" s="53"/>
      <c r="K10" s="28"/>
      <c r="L10" s="57"/>
      <c r="M10" s="57"/>
    </row>
    <row r="11" spans="2:13" s="12" customFormat="1" ht="12">
      <c r="B11" s="12" t="s">
        <v>25</v>
      </c>
      <c r="C11" s="25"/>
      <c r="D11" s="88">
        <f>SUM(D12:D20)</f>
        <v>2528410325.62</v>
      </c>
      <c r="E11" s="88"/>
      <c r="F11" s="88">
        <f>SUM(F12:F20)</f>
        <v>2854592238.11</v>
      </c>
      <c r="H11" s="89">
        <f>+D11-F11</f>
        <v>-326181912.49000025</v>
      </c>
      <c r="J11" s="90">
        <f>IF(F11=0,1,(H11/F11))</f>
        <v>-0.11426567624452114</v>
      </c>
      <c r="K11" s="91"/>
      <c r="L11" s="93"/>
      <c r="M11" s="92"/>
    </row>
    <row r="12" spans="1:13" ht="11.25" customHeight="1">
      <c r="A12" s="18"/>
      <c r="E12" s="53"/>
      <c r="F12" s="17"/>
      <c r="H12" s="19">
        <f>+F12-D12</f>
        <v>0</v>
      </c>
      <c r="J12" s="54"/>
      <c r="K12" s="20"/>
      <c r="L12" s="57"/>
      <c r="M12" s="22"/>
    </row>
    <row r="13" spans="1:13" ht="13.5" customHeight="1">
      <c r="A13" s="18"/>
      <c r="B13" s="5" t="s">
        <v>72</v>
      </c>
      <c r="C13" s="97">
        <v>6</v>
      </c>
      <c r="D13" s="17">
        <f>+ANEXO2!D14</f>
        <v>741136659.61</v>
      </c>
      <c r="E13" s="17"/>
      <c r="F13" s="17">
        <f>+ANEXO2!F14</f>
        <v>318694386.28</v>
      </c>
      <c r="H13" s="19">
        <f>+D13-F13</f>
        <v>422442273.33000004</v>
      </c>
      <c r="J13" s="54">
        <f>IF(F13=0,1,(H13/F13))</f>
        <v>1.325540365680771</v>
      </c>
      <c r="K13" s="20"/>
      <c r="L13" s="57"/>
      <c r="M13" s="22"/>
    </row>
    <row r="14" spans="1:13" ht="12">
      <c r="A14" s="18"/>
      <c r="B14" s="5" t="s">
        <v>17</v>
      </c>
      <c r="C14" s="18">
        <f>+C13+1</f>
        <v>7</v>
      </c>
      <c r="D14" s="17">
        <f>+ANEXO2!D17</f>
        <v>1268813090.1</v>
      </c>
      <c r="E14" s="17"/>
      <c r="F14" s="17">
        <f>+ANEXO2!F17</f>
        <v>1922749529.64</v>
      </c>
      <c r="H14" s="19">
        <f aca="true" t="shared" si="0" ref="H14:H19">+D14-F14</f>
        <v>-653936439.5400002</v>
      </c>
      <c r="J14" s="54">
        <f>IF(F14=0,1,(H14/F14))</f>
        <v>-0.34010484957051995</v>
      </c>
      <c r="K14" s="20"/>
      <c r="L14" s="57"/>
      <c r="M14" s="22"/>
    </row>
    <row r="15" spans="1:13" ht="12">
      <c r="A15" s="18"/>
      <c r="B15" s="5" t="s">
        <v>26</v>
      </c>
      <c r="C15" s="18">
        <f>+C14+1</f>
        <v>8</v>
      </c>
      <c r="D15" s="17">
        <f>+ANEXO2!D20</f>
        <v>393479453.1</v>
      </c>
      <c r="E15" s="17"/>
      <c r="F15" s="17">
        <f>+ANEXO2!F20</f>
        <v>455011567.39000005</v>
      </c>
      <c r="H15" s="19">
        <f t="shared" si="0"/>
        <v>-61532114.29000002</v>
      </c>
      <c r="J15" s="54">
        <f>IF(F15=0,1,(H15/F15))</f>
        <v>-0.1352319780416913</v>
      </c>
      <c r="K15" s="20"/>
      <c r="L15" s="57"/>
      <c r="M15" s="22"/>
    </row>
    <row r="16" spans="1:13" ht="13.5" customHeight="1">
      <c r="A16" s="18"/>
      <c r="B16" s="5" t="s">
        <v>13</v>
      </c>
      <c r="C16" s="18">
        <f>+C15+1</f>
        <v>9</v>
      </c>
      <c r="D16" s="17">
        <f>+ANEXO2!D26</f>
        <v>124981122.81</v>
      </c>
      <c r="E16" s="17"/>
      <c r="F16" s="17">
        <f>+ANEXO2!F26</f>
        <v>158136754.8</v>
      </c>
      <c r="H16" s="19">
        <f t="shared" si="0"/>
        <v>-33155631.99000001</v>
      </c>
      <c r="J16" s="54">
        <f>IF(F16=0,1,(H16/F16))</f>
        <v>-0.20966429994047156</v>
      </c>
      <c r="K16" s="20"/>
      <c r="L16" s="57"/>
      <c r="M16" s="22"/>
    </row>
    <row r="17" spans="1:13" ht="12">
      <c r="A17" s="18"/>
      <c r="B17" s="5" t="s">
        <v>27</v>
      </c>
      <c r="D17" s="17">
        <v>0</v>
      </c>
      <c r="E17" s="53"/>
      <c r="F17" s="17"/>
      <c r="H17" s="19">
        <f t="shared" si="0"/>
        <v>0</v>
      </c>
      <c r="J17" s="54"/>
      <c r="K17" s="20"/>
      <c r="L17" s="57"/>
      <c r="M17" s="22"/>
    </row>
    <row r="18" spans="1:13" ht="12">
      <c r="A18" s="18"/>
      <c r="B18" s="5" t="s">
        <v>28</v>
      </c>
      <c r="D18" s="17">
        <v>0</v>
      </c>
      <c r="E18" s="53"/>
      <c r="F18" s="17"/>
      <c r="H18" s="19">
        <f t="shared" si="0"/>
        <v>0</v>
      </c>
      <c r="J18" s="54"/>
      <c r="K18" s="20"/>
      <c r="L18" s="57"/>
      <c r="M18" s="22"/>
    </row>
    <row r="19" spans="1:13" ht="12">
      <c r="A19" s="18"/>
      <c r="B19" s="5" t="s">
        <v>29</v>
      </c>
      <c r="D19" s="20">
        <v>0</v>
      </c>
      <c r="E19" s="53"/>
      <c r="F19" s="20"/>
      <c r="H19" s="19">
        <f t="shared" si="0"/>
        <v>0</v>
      </c>
      <c r="J19" s="54"/>
      <c r="K19" s="20"/>
      <c r="L19" s="57"/>
      <c r="M19" s="22"/>
    </row>
    <row r="20" spans="1:13" ht="12.75" thickBot="1">
      <c r="A20" s="18"/>
      <c r="D20" s="21"/>
      <c r="E20" s="53"/>
      <c r="F20" s="21"/>
      <c r="H20" s="55">
        <f>+F20-D20</f>
        <v>0</v>
      </c>
      <c r="J20" s="56"/>
      <c r="K20" s="20"/>
      <c r="L20" s="57"/>
      <c r="M20" s="22"/>
    </row>
    <row r="21" spans="1:13" ht="12">
      <c r="A21" s="18"/>
      <c r="E21" s="53"/>
      <c r="F21" s="17"/>
      <c r="K21" s="20"/>
      <c r="L21" s="57"/>
      <c r="M21" s="22"/>
    </row>
    <row r="22" spans="1:13" s="12" customFormat="1" ht="12">
      <c r="A22" s="25"/>
      <c r="B22" s="12" t="s">
        <v>30</v>
      </c>
      <c r="C22" s="25"/>
      <c r="D22" s="88">
        <f>+ANEXO2!D34</f>
        <v>2185900921.44</v>
      </c>
      <c r="E22" s="74"/>
      <c r="F22" s="88">
        <f>SUM(F23:F28)</f>
        <v>2161130728.7000003</v>
      </c>
      <c r="H22" s="89">
        <f aca="true" t="shared" si="1" ref="H22:H27">+D22-F22</f>
        <v>24770192.73999977</v>
      </c>
      <c r="J22" s="90">
        <f>IF(F22=0,1,(H22/F22))</f>
        <v>0.011461681799740062</v>
      </c>
      <c r="K22" s="91"/>
      <c r="L22" s="93"/>
      <c r="M22" s="92"/>
    </row>
    <row r="23" spans="1:13" ht="12">
      <c r="A23" s="18"/>
      <c r="B23" s="5" t="s">
        <v>66</v>
      </c>
      <c r="C23" s="18">
        <f>+C16+1</f>
        <v>10</v>
      </c>
      <c r="D23" s="17">
        <f>+ANEXO2!D36</f>
        <v>1161779314.42</v>
      </c>
      <c r="E23" s="17"/>
      <c r="F23" s="17">
        <f>+ANEXO2!F36</f>
        <v>1242877008.96</v>
      </c>
      <c r="H23" s="19">
        <f t="shared" si="1"/>
        <v>-81097694.53999996</v>
      </c>
      <c r="J23" s="54">
        <f>IF(F23=0,1,(H23/F23))</f>
        <v>-0.06524997562539188</v>
      </c>
      <c r="K23" s="20"/>
      <c r="L23" s="57"/>
      <c r="M23" s="22"/>
    </row>
    <row r="24" spans="1:13" ht="12">
      <c r="A24" s="18"/>
      <c r="B24" s="5" t="s">
        <v>235</v>
      </c>
      <c r="C24" s="18">
        <f>+C23+1</f>
        <v>11</v>
      </c>
      <c r="D24" s="17">
        <f>+ANEXO2!D49</f>
        <v>523445145.94</v>
      </c>
      <c r="E24" s="17"/>
      <c r="F24" s="17">
        <f>+ANEXO2!F49</f>
        <v>523445145.94</v>
      </c>
      <c r="H24" s="19">
        <f t="shared" si="1"/>
        <v>0</v>
      </c>
      <c r="J24" s="54">
        <f>IF(F24=0,1,(H24/F24))</f>
        <v>0</v>
      </c>
      <c r="K24" s="20"/>
      <c r="L24" s="57"/>
      <c r="M24" s="22"/>
    </row>
    <row r="25" spans="1:13" ht="12">
      <c r="A25" s="18"/>
      <c r="B25" s="5" t="s">
        <v>32</v>
      </c>
      <c r="D25" s="17">
        <v>0</v>
      </c>
      <c r="E25" s="53"/>
      <c r="F25" s="17">
        <v>0</v>
      </c>
      <c r="H25" s="19">
        <f t="shared" si="1"/>
        <v>0</v>
      </c>
      <c r="J25" s="54"/>
      <c r="K25" s="20"/>
      <c r="L25" s="57"/>
      <c r="M25" s="22"/>
    </row>
    <row r="26" spans="1:13" ht="12">
      <c r="A26" s="18"/>
      <c r="B26" s="5" t="s">
        <v>33</v>
      </c>
      <c r="D26" s="17">
        <v>0</v>
      </c>
      <c r="E26" s="53"/>
      <c r="F26" s="17">
        <v>0</v>
      </c>
      <c r="H26" s="19">
        <f t="shared" si="1"/>
        <v>0</v>
      </c>
      <c r="J26" s="54"/>
      <c r="K26" s="20"/>
      <c r="L26" s="57"/>
      <c r="M26" s="22"/>
    </row>
    <row r="27" spans="1:13" ht="12">
      <c r="A27" s="18"/>
      <c r="B27" s="5" t="s">
        <v>70</v>
      </c>
      <c r="C27" s="18">
        <f>+C24+1</f>
        <v>12</v>
      </c>
      <c r="D27" s="17">
        <f>+ANEXO2!D51</f>
        <v>500676461.08</v>
      </c>
      <c r="E27" s="17"/>
      <c r="F27" s="17">
        <f>+ANEXO2!F51</f>
        <v>394808573.8</v>
      </c>
      <c r="H27" s="19">
        <f t="shared" si="1"/>
        <v>105867887.27999997</v>
      </c>
      <c r="J27" s="54">
        <f>IF(F30=0,1,(H27/F30))</f>
        <v>0.021107203882779823</v>
      </c>
      <c r="K27" s="20"/>
      <c r="L27" s="57"/>
      <c r="M27" s="22"/>
    </row>
    <row r="28" spans="1:13" ht="12.75" thickBot="1">
      <c r="A28" s="18"/>
      <c r="D28" s="21"/>
      <c r="E28" s="53"/>
      <c r="F28" s="21"/>
      <c r="H28" s="55">
        <f>SUM(D28-F28)</f>
        <v>0</v>
      </c>
      <c r="J28" s="56"/>
      <c r="K28" s="20"/>
      <c r="L28" s="57"/>
      <c r="M28" s="22"/>
    </row>
    <row r="29" spans="1:13" ht="12">
      <c r="A29" s="18"/>
      <c r="D29" s="20"/>
      <c r="E29" s="53"/>
      <c r="F29" s="20"/>
      <c r="K29" s="20"/>
      <c r="L29" s="57"/>
      <c r="M29" s="22"/>
    </row>
    <row r="30" spans="1:13" ht="12.75" thickBot="1">
      <c r="A30" s="18"/>
      <c r="B30" s="12" t="s">
        <v>34</v>
      </c>
      <c r="D30" s="75">
        <f>SUM(D11+D22)</f>
        <v>4714311247.059999</v>
      </c>
      <c r="E30" s="91"/>
      <c r="F30" s="75">
        <f>SUM(F11+F22)</f>
        <v>5015722966.81</v>
      </c>
      <c r="G30" s="12"/>
      <c r="H30" s="77">
        <f>+D30-F30</f>
        <v>-301411719.75000095</v>
      </c>
      <c r="I30" s="12"/>
      <c r="J30" s="73">
        <f>IF(F30=0,1,(H30/F30))</f>
        <v>-0.06009337472274686</v>
      </c>
      <c r="K30" s="20"/>
      <c r="L30" s="57"/>
      <c r="M30" s="22"/>
    </row>
    <row r="31" spans="1:13" ht="12.75" thickTop="1">
      <c r="A31" s="18"/>
      <c r="D31" s="63"/>
      <c r="E31" s="62"/>
      <c r="F31" s="20"/>
      <c r="H31" s="22"/>
      <c r="J31" s="64"/>
      <c r="K31" s="20"/>
      <c r="L31" s="57"/>
      <c r="M31" s="22"/>
    </row>
    <row r="32" spans="1:13" ht="12">
      <c r="A32" s="18"/>
      <c r="B32" s="12" t="s">
        <v>195</v>
      </c>
      <c r="C32" s="18">
        <f>+C56+1</f>
        <v>18</v>
      </c>
      <c r="D32" s="20">
        <f>+ANEXO2!D62</f>
        <v>0</v>
      </c>
      <c r="E32" s="62"/>
      <c r="F32" s="20"/>
      <c r="H32" s="19">
        <f>+F32-D32</f>
        <v>0</v>
      </c>
      <c r="J32" s="54"/>
      <c r="K32" s="20"/>
      <c r="L32" s="57"/>
      <c r="M32" s="22"/>
    </row>
    <row r="33" spans="1:13" ht="12">
      <c r="A33" s="18"/>
      <c r="B33" s="5" t="str">
        <f>+ANEXO2!B64</f>
        <v>Derechos Contingentes</v>
      </c>
      <c r="D33" s="20">
        <f>+ANEXO2!D64</f>
        <v>152878659</v>
      </c>
      <c r="E33" s="62"/>
      <c r="F33" s="20">
        <f>+ANEXO2!F64</f>
        <v>152878659</v>
      </c>
      <c r="H33" s="19">
        <f>+D33-F33</f>
        <v>0</v>
      </c>
      <c r="J33" s="54">
        <f>IF(F33=0,1,(H33/F33))</f>
        <v>0</v>
      </c>
      <c r="K33" s="20"/>
      <c r="L33" s="57"/>
      <c r="M33" s="22"/>
    </row>
    <row r="34" spans="1:13" ht="12">
      <c r="A34" s="18"/>
      <c r="B34" s="5" t="str">
        <f>+ANEXO2!B65</f>
        <v>Deudoras de Control</v>
      </c>
      <c r="D34" s="20">
        <f>+ANEXO2!D65</f>
        <v>21889019.58</v>
      </c>
      <c r="E34" s="62"/>
      <c r="F34" s="20">
        <f>+ANEXO2!F65</f>
        <v>21145017.73</v>
      </c>
      <c r="H34" s="19">
        <f>+D34-F34</f>
        <v>744001.8499999978</v>
      </c>
      <c r="J34" s="54">
        <f>IF(F34=0,1,(H34/F34))</f>
        <v>0.035185681066818277</v>
      </c>
      <c r="K34" s="20"/>
      <c r="L34" s="57"/>
      <c r="M34" s="22"/>
    </row>
    <row r="35" spans="1:13" ht="12.75" thickBot="1">
      <c r="A35" s="18"/>
      <c r="B35" s="5" t="str">
        <f>+ANEXO2!B66</f>
        <v>Deudoras por contra</v>
      </c>
      <c r="D35" s="21">
        <f>+ANEXO2!D66</f>
        <v>-174767678.57999998</v>
      </c>
      <c r="E35" s="62"/>
      <c r="F35" s="21">
        <f>+ANEXO2!F66</f>
        <v>-174023676.73</v>
      </c>
      <c r="H35" s="19">
        <f>+D35-F35</f>
        <v>-744001.849999994</v>
      </c>
      <c r="J35" s="56">
        <f>IF(F35=0,1,(H35/F35))</f>
        <v>0.004275290948796138</v>
      </c>
      <c r="K35" s="20"/>
      <c r="L35" s="57"/>
      <c r="M35" s="22"/>
    </row>
    <row r="36" spans="1:13" ht="12">
      <c r="A36" s="18"/>
      <c r="D36" s="20"/>
      <c r="E36" s="62"/>
      <c r="F36" s="20"/>
      <c r="K36" s="20"/>
      <c r="L36" s="57"/>
      <c r="M36" s="22"/>
    </row>
    <row r="37" spans="1:13" ht="12">
      <c r="A37" s="18"/>
      <c r="B37" s="30" t="s">
        <v>37</v>
      </c>
      <c r="E37" s="53"/>
      <c r="F37" s="17"/>
      <c r="K37" s="20"/>
      <c r="L37" s="57"/>
      <c r="M37" s="22"/>
    </row>
    <row r="38" spans="1:13" ht="12">
      <c r="A38" s="18"/>
      <c r="E38" s="53"/>
      <c r="F38" s="17"/>
      <c r="K38" s="20"/>
      <c r="L38" s="57"/>
      <c r="M38" s="22"/>
    </row>
    <row r="39" spans="1:13" s="12" customFormat="1" ht="12">
      <c r="A39" s="25"/>
      <c r="B39" s="12" t="s">
        <v>25</v>
      </c>
      <c r="C39" s="25"/>
      <c r="D39" s="88">
        <f>+ANEXO2!D71</f>
        <v>534813678.21</v>
      </c>
      <c r="E39" s="88"/>
      <c r="F39" s="88">
        <f>+ANEXO2!F71</f>
        <v>553759645.57</v>
      </c>
      <c r="H39" s="89">
        <f aca="true" t="shared" si="2" ref="H39:H45">+D39-F39</f>
        <v>-18945967.360000074</v>
      </c>
      <c r="J39" s="90">
        <f>IF(F39=0,1,(H39/F39))</f>
        <v>-0.03421334059201527</v>
      </c>
      <c r="K39" s="91"/>
      <c r="L39" s="93"/>
      <c r="M39" s="92"/>
    </row>
    <row r="40" spans="1:13" ht="12">
      <c r="A40" s="18"/>
      <c r="E40" s="53"/>
      <c r="F40" s="17"/>
      <c r="H40" s="19">
        <f t="shared" si="2"/>
        <v>0</v>
      </c>
      <c r="J40" s="54"/>
      <c r="K40" s="20"/>
      <c r="L40" s="57"/>
      <c r="M40" s="22"/>
    </row>
    <row r="41" spans="1:13" ht="12">
      <c r="A41" s="18"/>
      <c r="B41" s="5" t="s">
        <v>63</v>
      </c>
      <c r="C41" s="18">
        <f>+C27+1</f>
        <v>13</v>
      </c>
      <c r="D41" s="17">
        <f>+ANEXO2!D73</f>
        <v>71717567.32</v>
      </c>
      <c r="E41" s="17"/>
      <c r="F41" s="17">
        <f>+ANEXO2!F73</f>
        <v>67121123.1</v>
      </c>
      <c r="H41" s="19">
        <f t="shared" si="2"/>
        <v>4596444.219999999</v>
      </c>
      <c r="J41" s="54">
        <f>IF(F41=0,1,(H41/F41))</f>
        <v>0.06847984669672488</v>
      </c>
      <c r="K41" s="20"/>
      <c r="L41" s="57"/>
      <c r="M41" s="22"/>
    </row>
    <row r="42" spans="1:13" ht="12">
      <c r="A42" s="18"/>
      <c r="B42" s="5" t="s">
        <v>162</v>
      </c>
      <c r="C42" s="18">
        <f>+C41+1</f>
        <v>14</v>
      </c>
      <c r="D42" s="17">
        <f>+ANEXO2!D80</f>
        <v>83578471</v>
      </c>
      <c r="E42" s="17"/>
      <c r="F42" s="17">
        <f>+ANEXO2!F80</f>
        <v>72189092</v>
      </c>
      <c r="H42" s="19">
        <f t="shared" si="2"/>
        <v>11389379</v>
      </c>
      <c r="J42" s="54">
        <f>IF(F42=0,1,(H42/F42))</f>
        <v>0.15777146774473905</v>
      </c>
      <c r="K42" s="20"/>
      <c r="L42" s="57"/>
      <c r="M42" s="22"/>
    </row>
    <row r="43" spans="1:13" ht="12">
      <c r="A43" s="18"/>
      <c r="B43" s="5" t="s">
        <v>67</v>
      </c>
      <c r="C43" s="18">
        <f>+C42+1</f>
        <v>15</v>
      </c>
      <c r="D43" s="17">
        <f>+ANEXO2!D83</f>
        <v>300372182</v>
      </c>
      <c r="E43" s="17"/>
      <c r="F43" s="17">
        <f>+ANEXO2!F83</f>
        <v>300372182</v>
      </c>
      <c r="H43" s="19">
        <f t="shared" si="2"/>
        <v>0</v>
      </c>
      <c r="J43" s="54"/>
      <c r="K43" s="20"/>
      <c r="L43" s="57"/>
      <c r="M43" s="22"/>
    </row>
    <row r="44" spans="1:13" ht="12">
      <c r="A44" s="18"/>
      <c r="B44" s="5" t="s">
        <v>38</v>
      </c>
      <c r="C44" s="18">
        <f>+C43+1</f>
        <v>16</v>
      </c>
      <c r="D44" s="17">
        <f>+ANEXO2!D85</f>
        <v>79145457.89</v>
      </c>
      <c r="E44" s="17"/>
      <c r="F44" s="17">
        <f>+ANEXO2!F85</f>
        <v>114077248.47</v>
      </c>
      <c r="H44" s="19">
        <f t="shared" si="2"/>
        <v>-34931790.58</v>
      </c>
      <c r="J44" s="54">
        <f>IF(F44=0,1,(H44/F44))</f>
        <v>-0.3062117209917309</v>
      </c>
      <c r="K44" s="20"/>
      <c r="L44" s="57"/>
      <c r="M44" s="22"/>
    </row>
    <row r="45" spans="1:13" ht="12.75" thickBot="1">
      <c r="A45" s="18"/>
      <c r="D45" s="21"/>
      <c r="E45" s="66"/>
      <c r="F45" s="21"/>
      <c r="G45" s="57"/>
      <c r="H45" s="55">
        <f t="shared" si="2"/>
        <v>0</v>
      </c>
      <c r="I45" s="57"/>
      <c r="J45" s="56"/>
      <c r="K45" s="20"/>
      <c r="L45" s="57"/>
      <c r="M45" s="22"/>
    </row>
    <row r="46" spans="1:13" ht="12">
      <c r="A46" s="18"/>
      <c r="E46" s="53"/>
      <c r="F46" s="17"/>
      <c r="H46" s="19"/>
      <c r="K46" s="20"/>
      <c r="L46" s="57"/>
      <c r="M46" s="22"/>
    </row>
    <row r="47" spans="1:13" s="12" customFormat="1" ht="12">
      <c r="A47" s="25"/>
      <c r="B47" s="12" t="s">
        <v>30</v>
      </c>
      <c r="C47" s="25"/>
      <c r="D47" s="88">
        <f>SUM(D48:D49)</f>
        <v>0</v>
      </c>
      <c r="E47" s="74"/>
      <c r="F47" s="88">
        <f>SUM(F48:F49)</f>
        <v>0</v>
      </c>
      <c r="H47" s="19">
        <f>+F47-D47</f>
        <v>0</v>
      </c>
      <c r="J47" s="90"/>
      <c r="K47" s="91"/>
      <c r="L47" s="93"/>
      <c r="M47" s="92"/>
    </row>
    <row r="48" spans="1:13" ht="12">
      <c r="A48" s="18"/>
      <c r="B48" s="5" t="s">
        <v>39</v>
      </c>
      <c r="D48" s="17">
        <v>0</v>
      </c>
      <c r="E48" s="53"/>
      <c r="F48" s="17">
        <v>0</v>
      </c>
      <c r="H48" s="19">
        <f>+F48-D48</f>
        <v>0</v>
      </c>
      <c r="K48" s="20"/>
      <c r="L48" s="57"/>
      <c r="M48" s="22"/>
    </row>
    <row r="49" spans="1:13" ht="12">
      <c r="A49" s="18"/>
      <c r="B49" s="5" t="s">
        <v>31</v>
      </c>
      <c r="D49" s="17">
        <v>0</v>
      </c>
      <c r="E49" s="53"/>
      <c r="F49" s="17">
        <v>0</v>
      </c>
      <c r="H49" s="19">
        <f>+F49-D49</f>
        <v>0</v>
      </c>
      <c r="J49" s="54"/>
      <c r="K49" s="20"/>
      <c r="L49" s="57"/>
      <c r="M49" s="22"/>
    </row>
    <row r="50" spans="1:13" ht="12.75" thickBot="1">
      <c r="A50" s="18"/>
      <c r="D50" s="21"/>
      <c r="E50" s="53"/>
      <c r="F50" s="21"/>
      <c r="H50" s="55">
        <f>+F50-D50</f>
        <v>0</v>
      </c>
      <c r="J50" s="56"/>
      <c r="K50" s="20"/>
      <c r="L50" s="57"/>
      <c r="M50" s="22"/>
    </row>
    <row r="51" spans="1:13" ht="12">
      <c r="A51" s="18"/>
      <c r="D51" s="20"/>
      <c r="E51" s="53"/>
      <c r="F51" s="20"/>
      <c r="H51" s="22"/>
      <c r="J51" s="64"/>
      <c r="K51" s="20"/>
      <c r="L51" s="57"/>
      <c r="M51" s="22"/>
    </row>
    <row r="52" spans="1:13" ht="12.75" thickBot="1">
      <c r="A52" s="18"/>
      <c r="B52" s="12" t="s">
        <v>40</v>
      </c>
      <c r="C52" s="25"/>
      <c r="D52" s="78">
        <f>SUM(D47+D39)</f>
        <v>534813678.21</v>
      </c>
      <c r="E52" s="78"/>
      <c r="F52" s="78">
        <f>SUM(F47+F39)</f>
        <v>553759645.57</v>
      </c>
      <c r="G52" s="12"/>
      <c r="H52" s="79">
        <f>+D52-F52</f>
        <v>-18945967.360000074</v>
      </c>
      <c r="I52" s="12"/>
      <c r="J52" s="80">
        <f>IF(F52=0,1,(H52/F52))</f>
        <v>-0.03421334059201527</v>
      </c>
      <c r="K52" s="20"/>
      <c r="L52" s="57"/>
      <c r="M52" s="22"/>
    </row>
    <row r="53" spans="1:13" ht="12">
      <c r="A53" s="18"/>
      <c r="D53" s="67"/>
      <c r="E53" s="53"/>
      <c r="F53" s="17"/>
      <c r="K53" s="20"/>
      <c r="L53" s="57"/>
      <c r="M53" s="22"/>
    </row>
    <row r="54" spans="1:13" ht="12">
      <c r="A54" s="18"/>
      <c r="E54" s="53"/>
      <c r="F54" s="17"/>
      <c r="K54" s="20"/>
      <c r="L54" s="57"/>
      <c r="M54" s="22"/>
    </row>
    <row r="55" spans="1:13" ht="12">
      <c r="A55" s="18"/>
      <c r="E55" s="53"/>
      <c r="F55" s="17"/>
      <c r="K55" s="20"/>
      <c r="L55" s="57"/>
      <c r="M55" s="22"/>
    </row>
    <row r="56" spans="1:13" s="12" customFormat="1" ht="12">
      <c r="A56" s="25"/>
      <c r="B56" s="12" t="s">
        <v>41</v>
      </c>
      <c r="C56" s="25">
        <f>+C44+1</f>
        <v>17</v>
      </c>
      <c r="D56" s="88">
        <f>SUM(D57:D68)</f>
        <v>4179497568.850001</v>
      </c>
      <c r="E56" s="88"/>
      <c r="F56" s="88">
        <f>SUM(F57:F68)</f>
        <v>4461963321.240001</v>
      </c>
      <c r="H56" s="89">
        <f>+D56-F56</f>
        <v>-282465752.38999987</v>
      </c>
      <c r="J56" s="90">
        <f>IF(F56=0,1,(H56/F56))</f>
        <v>-0.06330526094766312</v>
      </c>
      <c r="K56" s="91"/>
      <c r="L56" s="93"/>
      <c r="M56" s="92"/>
    </row>
    <row r="57" spans="1:13" ht="12">
      <c r="A57" s="18"/>
      <c r="B57" s="5" t="s">
        <v>0</v>
      </c>
      <c r="D57" s="17">
        <f>+ANEXO2!D109</f>
        <v>4144065021.24</v>
      </c>
      <c r="E57" s="17"/>
      <c r="F57" s="17">
        <f>+ANEXO2!F109</f>
        <v>4368662319.18</v>
      </c>
      <c r="H57" s="19">
        <f aca="true" t="shared" si="3" ref="H57:H68">+D57-F57</f>
        <v>-224597297.94000053</v>
      </c>
      <c r="J57" s="54">
        <f>IF(F57=0,1,(H57/F57))</f>
        <v>-0.05141099987379147</v>
      </c>
      <c r="K57" s="20"/>
      <c r="L57" s="57"/>
      <c r="M57" s="22"/>
    </row>
    <row r="58" spans="1:13" ht="12" hidden="1">
      <c r="A58" s="18"/>
      <c r="B58" s="5" t="s">
        <v>42</v>
      </c>
      <c r="E58" s="53"/>
      <c r="F58" s="17">
        <v>0</v>
      </c>
      <c r="H58" s="19">
        <f t="shared" si="3"/>
        <v>0</v>
      </c>
      <c r="J58" s="54">
        <f>IF(F58=0,1,(H58/F58))</f>
        <v>1</v>
      </c>
      <c r="K58" s="20"/>
      <c r="L58" s="57"/>
      <c r="M58" s="22"/>
    </row>
    <row r="59" spans="1:13" ht="12" hidden="1">
      <c r="A59" s="18"/>
      <c r="B59" s="5" t="s">
        <v>43</v>
      </c>
      <c r="E59" s="53"/>
      <c r="F59" s="17">
        <v>0</v>
      </c>
      <c r="H59" s="19">
        <f t="shared" si="3"/>
        <v>0</v>
      </c>
      <c r="J59" s="54">
        <f aca="true" t="shared" si="4" ref="J59:J68">IF(F59=0,1,(H59/F59))</f>
        <v>1</v>
      </c>
      <c r="K59" s="20"/>
      <c r="L59" s="57"/>
      <c r="M59" s="22"/>
    </row>
    <row r="60" spans="1:14" ht="12" hidden="1">
      <c r="A60" s="18"/>
      <c r="B60" s="5" t="s">
        <v>44</v>
      </c>
      <c r="E60" s="53"/>
      <c r="F60" s="17">
        <v>0</v>
      </c>
      <c r="H60" s="19">
        <f t="shared" si="3"/>
        <v>0</v>
      </c>
      <c r="J60" s="54">
        <f t="shared" si="4"/>
        <v>1</v>
      </c>
      <c r="K60" s="20"/>
      <c r="L60" s="57"/>
      <c r="M60" s="22"/>
      <c r="N60" s="19"/>
    </row>
    <row r="61" spans="1:13" ht="12" hidden="1">
      <c r="A61" s="18"/>
      <c r="B61" s="5" t="s">
        <v>45</v>
      </c>
      <c r="E61" s="53"/>
      <c r="F61" s="17">
        <v>0</v>
      </c>
      <c r="H61" s="19">
        <f t="shared" si="3"/>
        <v>0</v>
      </c>
      <c r="J61" s="54">
        <f t="shared" si="4"/>
        <v>1</v>
      </c>
      <c r="K61" s="20"/>
      <c r="L61" s="57"/>
      <c r="M61" s="22"/>
    </row>
    <row r="62" spans="1:13" ht="12" hidden="1">
      <c r="A62" s="18"/>
      <c r="B62" s="5" t="s">
        <v>46</v>
      </c>
      <c r="E62" s="53"/>
      <c r="F62" s="17">
        <v>0</v>
      </c>
      <c r="H62" s="19">
        <f t="shared" si="3"/>
        <v>0</v>
      </c>
      <c r="J62" s="54">
        <f t="shared" si="4"/>
        <v>1</v>
      </c>
      <c r="K62" s="20"/>
      <c r="L62" s="57"/>
      <c r="M62" s="22"/>
    </row>
    <row r="63" spans="1:13" ht="12" hidden="1">
      <c r="A63" s="18"/>
      <c r="B63" s="5" t="s">
        <v>47</v>
      </c>
      <c r="E63" s="53"/>
      <c r="F63" s="17">
        <v>0</v>
      </c>
      <c r="H63" s="19">
        <f t="shared" si="3"/>
        <v>0</v>
      </c>
      <c r="J63" s="54">
        <f t="shared" si="4"/>
        <v>1</v>
      </c>
      <c r="K63" s="20"/>
      <c r="L63" s="57"/>
      <c r="M63" s="22"/>
    </row>
    <row r="64" spans="1:13" ht="12" hidden="1">
      <c r="A64" s="18"/>
      <c r="B64" s="5" t="s">
        <v>48</v>
      </c>
      <c r="E64" s="53"/>
      <c r="F64" s="17">
        <v>0</v>
      </c>
      <c r="H64" s="19">
        <f t="shared" si="3"/>
        <v>0</v>
      </c>
      <c r="J64" s="54">
        <f t="shared" si="4"/>
        <v>1</v>
      </c>
      <c r="K64" s="20"/>
      <c r="L64" s="57"/>
      <c r="M64" s="22"/>
    </row>
    <row r="65" spans="1:13" ht="12">
      <c r="A65" s="18"/>
      <c r="B65" s="5" t="s">
        <v>49</v>
      </c>
      <c r="D65" s="17">
        <f>+ANEXO2!D112</f>
        <v>317898300</v>
      </c>
      <c r="E65" s="17"/>
      <c r="F65" s="17">
        <f>+ANEXO2!F112</f>
        <v>317898300</v>
      </c>
      <c r="H65" s="19">
        <f t="shared" si="3"/>
        <v>0</v>
      </c>
      <c r="J65" s="54">
        <f t="shared" si="4"/>
        <v>0</v>
      </c>
      <c r="K65" s="20"/>
      <c r="L65" s="57"/>
      <c r="M65" s="22"/>
    </row>
    <row r="66" spans="1:13" ht="12">
      <c r="A66" s="18"/>
      <c r="B66" s="5" t="s">
        <v>50</v>
      </c>
      <c r="E66" s="53"/>
      <c r="F66" s="17">
        <v>0</v>
      </c>
      <c r="H66" s="19">
        <f t="shared" si="3"/>
        <v>0</v>
      </c>
      <c r="J66" s="54"/>
      <c r="K66" s="20"/>
      <c r="L66" s="57"/>
      <c r="M66" s="22"/>
    </row>
    <row r="67" spans="1:13" ht="12">
      <c r="A67" s="18"/>
      <c r="B67" s="5" t="s">
        <v>51</v>
      </c>
      <c r="D67" s="17">
        <f>'ER'!C44</f>
        <v>-284365752.3899988</v>
      </c>
      <c r="E67" s="17"/>
      <c r="F67" s="17">
        <f>'ER'!E44</f>
        <v>-234196769.93999964</v>
      </c>
      <c r="H67" s="19">
        <f t="shared" si="3"/>
        <v>-50168982.44999915</v>
      </c>
      <c r="J67" s="54">
        <f t="shared" si="4"/>
        <v>0.2142172262360931</v>
      </c>
      <c r="K67" s="20"/>
      <c r="L67" s="57"/>
      <c r="M67" s="22"/>
    </row>
    <row r="68" spans="1:16" s="98" customFormat="1" ht="12.75" thickBot="1">
      <c r="A68" s="97"/>
      <c r="B68" s="98" t="s">
        <v>179</v>
      </c>
      <c r="C68" s="97"/>
      <c r="D68" s="99">
        <f>+ANEXO2!D113</f>
        <v>1900000</v>
      </c>
      <c r="E68" s="100"/>
      <c r="F68" s="99">
        <f>+ANEXO2!F113</f>
        <v>9599472</v>
      </c>
      <c r="H68" s="19">
        <f t="shared" si="3"/>
        <v>-7699472</v>
      </c>
      <c r="I68" s="102"/>
      <c r="J68" s="103">
        <f t="shared" si="4"/>
        <v>-0.8020724473179358</v>
      </c>
      <c r="K68" s="104"/>
      <c r="L68" s="102"/>
      <c r="M68" s="105"/>
      <c r="N68" s="106"/>
      <c r="O68" s="106"/>
      <c r="P68" s="106"/>
    </row>
    <row r="69" spans="1:14" ht="12">
      <c r="A69" s="18"/>
      <c r="D69" s="20"/>
      <c r="E69" s="53"/>
      <c r="F69" s="20"/>
      <c r="H69" s="22"/>
      <c r="I69" s="57"/>
      <c r="J69" s="57"/>
      <c r="K69" s="20"/>
      <c r="L69" s="57"/>
      <c r="M69" s="22"/>
      <c r="N69" s="19"/>
    </row>
    <row r="70" spans="1:13" ht="12.75" thickBot="1">
      <c r="A70" s="18"/>
      <c r="B70" s="12" t="s">
        <v>52</v>
      </c>
      <c r="C70" s="25"/>
      <c r="D70" s="75">
        <f>SUM(D52+D56)</f>
        <v>4714311247.06</v>
      </c>
      <c r="E70" s="74"/>
      <c r="F70" s="75">
        <f>SUM(F52+F56)</f>
        <v>5015722966.81</v>
      </c>
      <c r="G70" s="12"/>
      <c r="H70" s="77">
        <f>+D70-F70</f>
        <v>-301411719.75</v>
      </c>
      <c r="I70" s="12"/>
      <c r="J70" s="96">
        <f>IF(F70=0,1,(H70/F70))</f>
        <v>-0.060093374722746666</v>
      </c>
      <c r="K70" s="20"/>
      <c r="L70" s="22">
        <f>+E70-E30</f>
        <v>0</v>
      </c>
      <c r="M70" s="22">
        <f>+F70-F30</f>
        <v>0</v>
      </c>
    </row>
    <row r="71" spans="1:13" ht="12.75" thickTop="1">
      <c r="A71" s="18"/>
      <c r="E71" s="53"/>
      <c r="F71" s="17"/>
      <c r="K71" s="20"/>
      <c r="L71" s="57"/>
      <c r="M71" s="22"/>
    </row>
    <row r="72" spans="1:13" s="12" customFormat="1" ht="12">
      <c r="A72" s="25"/>
      <c r="B72" s="12" t="s">
        <v>194</v>
      </c>
      <c r="C72" s="25">
        <f>+C32+1</f>
        <v>19</v>
      </c>
      <c r="D72" s="91">
        <f>SUM(D74:D76)</f>
        <v>0</v>
      </c>
      <c r="E72" s="76"/>
      <c r="F72" s="91">
        <v>0</v>
      </c>
      <c r="H72" s="89">
        <f>+D72-F72</f>
        <v>0</v>
      </c>
      <c r="J72" s="90"/>
      <c r="K72" s="91"/>
      <c r="L72" s="93"/>
      <c r="M72" s="92"/>
    </row>
    <row r="73" spans="1:13" ht="12">
      <c r="A73" s="18"/>
      <c r="D73" s="20"/>
      <c r="E73" s="62"/>
      <c r="F73" s="20"/>
      <c r="H73" s="5">
        <f>+D73-F73</f>
        <v>0</v>
      </c>
      <c r="J73" s="65"/>
      <c r="K73" s="20"/>
      <c r="L73" s="57"/>
      <c r="M73" s="22"/>
    </row>
    <row r="74" spans="1:13" ht="12">
      <c r="A74" s="18"/>
      <c r="B74" s="5" t="str">
        <f>+ANEXO2!B119</f>
        <v>Responsabilidades Contingentes</v>
      </c>
      <c r="D74" s="20">
        <f>+ANEXO2!D119</f>
        <v>-1501859325</v>
      </c>
      <c r="E74" s="62"/>
      <c r="F74" s="20">
        <f>+ANEXO2!F119</f>
        <v>-590948145</v>
      </c>
      <c r="H74" s="19">
        <f>+D74-F74</f>
        <v>-910911180</v>
      </c>
      <c r="J74" s="54">
        <f>IF(F74=0,1,(H74/F74))</f>
        <v>1.5414401207740487</v>
      </c>
      <c r="K74" s="20"/>
      <c r="L74" s="57"/>
      <c r="M74" s="22"/>
    </row>
    <row r="75" spans="1:13" ht="12">
      <c r="A75" s="18"/>
      <c r="B75" s="5" t="str">
        <f>+ANEXO2!B120</f>
        <v>Otras Cuentas Deudoras de C*C</v>
      </c>
      <c r="D75" s="20">
        <f>+ANEXO2!D120</f>
        <v>-11594000</v>
      </c>
      <c r="E75" s="62"/>
      <c r="F75" s="20">
        <f>+ANEXO2!F120</f>
        <v>-11594000</v>
      </c>
      <c r="H75" s="19">
        <f>+D75-F75</f>
        <v>0</v>
      </c>
      <c r="J75" s="54">
        <f>IF(F75=0,1,(H75/F75))</f>
        <v>0</v>
      </c>
      <c r="K75" s="20"/>
      <c r="L75" s="57"/>
      <c r="M75" s="22"/>
    </row>
    <row r="76" spans="1:13" ht="12.75" thickBot="1">
      <c r="A76" s="18"/>
      <c r="B76" s="5" t="str">
        <f>+ANEXO2!B121</f>
        <v>Acreedoras por contra (db)</v>
      </c>
      <c r="D76" s="21">
        <f>+ANEXO2!D121</f>
        <v>1513453325</v>
      </c>
      <c r="E76" s="62"/>
      <c r="F76" s="21">
        <f>+ANEXO2!F121</f>
        <v>602542145</v>
      </c>
      <c r="H76" s="19">
        <f>+D76-F76</f>
        <v>910911180</v>
      </c>
      <c r="J76" s="56">
        <f>IF(F76=0,1,(H76/F76))</f>
        <v>1.5117800266071015</v>
      </c>
      <c r="K76" s="20"/>
      <c r="L76" s="57"/>
      <c r="M76" s="22"/>
    </row>
    <row r="77" spans="1:5" ht="12">
      <c r="A77" s="18"/>
      <c r="D77" s="20"/>
      <c r="E77" s="62"/>
    </row>
    <row r="79" spans="2:6" ht="12">
      <c r="B79" s="106" t="str">
        <f>+ANEXO2!B124</f>
        <v>ORIGINAL FIRMADO</v>
      </c>
      <c r="F79" s="7" t="str">
        <f>+B79</f>
        <v>ORIGINAL FIRMADO</v>
      </c>
    </row>
    <row r="80" spans="2:6" ht="12">
      <c r="B80" s="12" t="str">
        <f>+ANEXO2!B125</f>
        <v>MIRIAN ROCIO CARREÑO GUTIERREZ</v>
      </c>
      <c r="C80" s="25"/>
      <c r="D80" s="88"/>
      <c r="E80" s="12"/>
      <c r="F80" s="27" t="str">
        <f>+ANEXO2!F125</f>
        <v>DIEGO FERNANDO MANCILLA LEON</v>
      </c>
    </row>
    <row r="81" spans="2:6" ht="12">
      <c r="B81" s="12" t="str">
        <f>+ANEXO2!B126</f>
        <v>REPRESENTANTE LEGAL ( E )</v>
      </c>
      <c r="C81" s="25"/>
      <c r="D81" s="88"/>
      <c r="E81" s="12"/>
      <c r="F81" s="27" t="str">
        <f>+ANEXO2!F126</f>
        <v>REVISOR FISCAL</v>
      </c>
    </row>
    <row r="82" spans="2:6" ht="12">
      <c r="B82" s="12"/>
      <c r="C82" s="25"/>
      <c r="D82" s="88"/>
      <c r="E82" s="12"/>
      <c r="F82" s="27" t="str">
        <f>+ANEXO2!F127</f>
        <v>T.P. 153902-T</v>
      </c>
    </row>
    <row r="83" spans="2:6" ht="12">
      <c r="B83" s="12"/>
      <c r="C83" s="25"/>
      <c r="D83" s="88"/>
      <c r="E83" s="12"/>
      <c r="F83" s="7" t="str">
        <f>+ANEXO4!G74</f>
        <v>En representacion de la firma </v>
      </c>
    </row>
    <row r="84" spans="2:6" ht="12">
      <c r="B84" s="12"/>
      <c r="C84" s="25"/>
      <c r="D84" s="88"/>
      <c r="E84" s="12"/>
      <c r="F84" s="7" t="str">
        <f>+ANEXO4!G75</f>
        <v>Leones Asociados S.A.S</v>
      </c>
    </row>
    <row r="85" spans="2:6" ht="12">
      <c r="B85" s="106" t="str">
        <f>+B79</f>
        <v>ORIGINAL FIRMADO</v>
      </c>
      <c r="C85" s="25"/>
      <c r="D85" s="88"/>
      <c r="E85" s="12"/>
      <c r="F85" s="7" t="str">
        <f>+ANEXO4!G76</f>
        <v>Ver Opinion Adjunta</v>
      </c>
    </row>
    <row r="86" spans="2:6" ht="12">
      <c r="B86" s="12" t="str">
        <f>+ANEXO2!B131</f>
        <v>EVER SANCHEZ FIGUEROA</v>
      </c>
      <c r="C86" s="25"/>
      <c r="D86" s="88"/>
      <c r="E86" s="12"/>
      <c r="F86" s="27"/>
    </row>
    <row r="87" spans="2:6" ht="12">
      <c r="B87" s="12" t="str">
        <f>+ANEXO2!B132</f>
        <v>CONTADOR</v>
      </c>
      <c r="C87" s="25"/>
      <c r="D87" s="88"/>
      <c r="E87" s="12"/>
      <c r="F87" s="27"/>
    </row>
    <row r="88" spans="2:6" ht="12">
      <c r="B88" s="12" t="str">
        <f>+ANEXO2!B133</f>
        <v>T.P. 134809-T</v>
      </c>
      <c r="C88" s="25"/>
      <c r="D88" s="88"/>
      <c r="E88" s="12"/>
      <c r="F88" s="27"/>
    </row>
  </sheetData>
  <sheetProtection/>
  <mergeCells count="6">
    <mergeCell ref="B1:J1"/>
    <mergeCell ref="B2:J2"/>
    <mergeCell ref="B3:J3"/>
    <mergeCell ref="B4:J4"/>
    <mergeCell ref="B5:J5"/>
    <mergeCell ref="B6:J6"/>
  </mergeCells>
  <printOptions/>
  <pageMargins left="0.76" right="0.2755905511811024" top="0.97" bottom="0.984251968503937" header="0" footer="0"/>
  <pageSetup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54"/>
  <sheetViews>
    <sheetView view="pageBreakPreview" zoomScale="60" zoomScalePageLayoutView="0" workbookViewId="0" topLeftCell="A1">
      <selection activeCell="B44" sqref="B44"/>
    </sheetView>
  </sheetViews>
  <sheetFormatPr defaultColWidth="11.421875" defaultRowHeight="12.75"/>
  <cols>
    <col min="1" max="1" width="4.7109375" style="0" customWidth="1"/>
    <col min="2" max="2" width="11.7109375" style="0" customWidth="1"/>
    <col min="3" max="3" width="36.7109375" style="0" customWidth="1"/>
    <col min="4" max="4" width="3.7109375" style="0" customWidth="1"/>
    <col min="5" max="5" width="8.7109375" style="0" customWidth="1"/>
    <col min="6" max="6" width="5.7109375" style="0" customWidth="1"/>
    <col min="7" max="7" width="8.7109375" style="0" customWidth="1"/>
    <col min="8" max="8" width="13.8515625" style="0" bestFit="1" customWidth="1"/>
    <col min="9" max="9" width="14.8515625" style="0" bestFit="1" customWidth="1"/>
  </cols>
  <sheetData>
    <row r="2" spans="2:8" ht="12.75">
      <c r="B2" s="263" t="s">
        <v>180</v>
      </c>
      <c r="C2" s="263"/>
      <c r="D2" s="263"/>
      <c r="E2" s="263"/>
      <c r="F2" s="263"/>
      <c r="G2" s="263"/>
      <c r="H2" s="263"/>
    </row>
    <row r="3" spans="2:8" ht="12.75">
      <c r="B3" s="263" t="s">
        <v>118</v>
      </c>
      <c r="C3" s="263"/>
      <c r="D3" s="263"/>
      <c r="E3" s="263"/>
      <c r="F3" s="263"/>
      <c r="G3" s="263"/>
      <c r="H3" s="263"/>
    </row>
    <row r="4" spans="2:8" ht="12.75">
      <c r="B4" s="263" t="s">
        <v>20</v>
      </c>
      <c r="C4" s="263"/>
      <c r="D4" s="263"/>
      <c r="E4" s="263"/>
      <c r="F4" s="263"/>
      <c r="G4" s="263"/>
      <c r="H4" s="263"/>
    </row>
    <row r="5" spans="2:9" ht="12.75">
      <c r="B5" s="263" t="s">
        <v>254</v>
      </c>
      <c r="C5" s="263"/>
      <c r="D5" s="263"/>
      <c r="E5" s="263"/>
      <c r="F5" s="263"/>
      <c r="G5" s="263"/>
      <c r="H5" s="263"/>
      <c r="I5" s="108"/>
    </row>
    <row r="6" spans="2:9" ht="12.75">
      <c r="B6" s="263" t="s">
        <v>184</v>
      </c>
      <c r="C6" s="263"/>
      <c r="D6" s="263"/>
      <c r="E6" s="263"/>
      <c r="F6" s="263"/>
      <c r="G6" s="263"/>
      <c r="H6" s="263"/>
      <c r="I6" s="108"/>
    </row>
    <row r="7" spans="2:8" ht="12.75">
      <c r="B7" s="263" t="s">
        <v>185</v>
      </c>
      <c r="C7" s="263"/>
      <c r="D7" s="263"/>
      <c r="E7" s="263"/>
      <c r="F7" s="263"/>
      <c r="G7" s="263"/>
      <c r="H7" s="263"/>
    </row>
    <row r="8" spans="2:8" ht="12.75">
      <c r="B8" s="85"/>
      <c r="C8" s="85"/>
      <c r="D8" s="85"/>
      <c r="E8" s="85"/>
      <c r="F8" s="85"/>
      <c r="G8" s="85"/>
      <c r="H8" s="85"/>
    </row>
    <row r="9" spans="2:8" ht="12.75">
      <c r="B9" s="85"/>
      <c r="C9" s="85"/>
      <c r="D9" s="85"/>
      <c r="E9" s="85"/>
      <c r="F9" s="85"/>
      <c r="G9" s="85"/>
      <c r="H9" s="85"/>
    </row>
    <row r="10" spans="2:8" ht="12.75">
      <c r="B10" s="85"/>
      <c r="C10" s="85"/>
      <c r="D10" s="85"/>
      <c r="E10" s="85"/>
      <c r="F10" s="85"/>
      <c r="G10" s="85"/>
      <c r="H10" s="85"/>
    </row>
    <row r="11" spans="2:8" ht="12.75">
      <c r="B11" s="257" t="s">
        <v>246</v>
      </c>
      <c r="C11" s="258"/>
      <c r="D11" s="258"/>
      <c r="E11" s="258"/>
      <c r="F11" s="258"/>
      <c r="G11" s="109"/>
      <c r="H11" s="188">
        <f>+BCE!F56</f>
        <v>4461963321.240001</v>
      </c>
    </row>
    <row r="12" spans="2:8" ht="12.75">
      <c r="B12" s="111"/>
      <c r="C12" s="85"/>
      <c r="D12" s="85"/>
      <c r="E12" s="85"/>
      <c r="F12" s="85"/>
      <c r="G12" s="85"/>
      <c r="H12" s="112"/>
    </row>
    <row r="13" spans="2:9" ht="12.75">
      <c r="B13" s="113" t="s">
        <v>255</v>
      </c>
      <c r="C13" s="109"/>
      <c r="D13" s="109"/>
      <c r="E13" s="109"/>
      <c r="F13" s="109"/>
      <c r="G13" s="109"/>
      <c r="H13" s="110">
        <f>+H30</f>
        <v>-282465752.3899988</v>
      </c>
      <c r="I13" s="114"/>
    </row>
    <row r="14" spans="2:9" ht="12.75">
      <c r="B14" s="111"/>
      <c r="C14" s="85"/>
      <c r="D14" s="85"/>
      <c r="E14" s="85"/>
      <c r="F14" s="85"/>
      <c r="G14" s="85"/>
      <c r="H14" s="112"/>
      <c r="I14" s="114"/>
    </row>
    <row r="15" spans="2:11" ht="12.75">
      <c r="B15" s="257" t="s">
        <v>256</v>
      </c>
      <c r="C15" s="258"/>
      <c r="D15" s="258"/>
      <c r="E15" s="258"/>
      <c r="F15" s="258"/>
      <c r="G15" s="109"/>
      <c r="H15" s="110">
        <f>+H11+H13</f>
        <v>4179497568.850002</v>
      </c>
      <c r="I15" s="114"/>
      <c r="J15" s="191">
        <f>+H15-BCE!D56</f>
        <v>0</v>
      </c>
      <c r="K15" s="114"/>
    </row>
    <row r="16" spans="2:8" ht="12.75">
      <c r="B16" s="111"/>
      <c r="C16" s="85"/>
      <c r="D16" s="85"/>
      <c r="E16" s="85"/>
      <c r="F16" s="85"/>
      <c r="G16" s="85"/>
      <c r="H16" s="112"/>
    </row>
    <row r="17" spans="2:9" ht="15">
      <c r="B17" s="111"/>
      <c r="C17" s="85"/>
      <c r="D17" s="85"/>
      <c r="E17" s="85"/>
      <c r="F17" s="85"/>
      <c r="G17" s="85"/>
      <c r="H17" s="112"/>
      <c r="I17" s="115"/>
    </row>
    <row r="18" spans="2:8" ht="12.75">
      <c r="B18" s="259" t="s">
        <v>181</v>
      </c>
      <c r="C18" s="260"/>
      <c r="D18" s="260"/>
      <c r="E18" s="260"/>
      <c r="F18" s="260"/>
      <c r="G18" s="260"/>
      <c r="H18" s="261"/>
    </row>
    <row r="19" spans="2:9" ht="12.75">
      <c r="B19" s="111"/>
      <c r="C19" s="85"/>
      <c r="D19" s="85"/>
      <c r="E19" s="85"/>
      <c r="F19" s="85"/>
      <c r="G19" s="85"/>
      <c r="H19" s="112"/>
      <c r="I19" s="114"/>
    </row>
    <row r="20" spans="2:8" ht="12.75">
      <c r="B20" s="113"/>
      <c r="C20" s="109" t="s">
        <v>191</v>
      </c>
      <c r="D20" s="109"/>
      <c r="E20" s="109"/>
      <c r="F20" s="109"/>
      <c r="G20" s="116"/>
      <c r="H20" s="110">
        <f>SUM(H21:H23)</f>
        <v>1900000</v>
      </c>
    </row>
    <row r="21" spans="2:8" ht="12.75">
      <c r="B21" s="113">
        <v>323000</v>
      </c>
      <c r="C21" s="109" t="s">
        <v>62</v>
      </c>
      <c r="D21" s="109"/>
      <c r="E21" s="109"/>
      <c r="F21" s="109"/>
      <c r="G21" s="116"/>
      <c r="H21" s="110">
        <f>IF(BCE!F67&gt;0,BCE!F67,0)</f>
        <v>0</v>
      </c>
    </row>
    <row r="22" spans="2:8" ht="12.75">
      <c r="B22" s="113">
        <v>324000</v>
      </c>
      <c r="C22" s="109" t="s">
        <v>236</v>
      </c>
      <c r="D22" s="109"/>
      <c r="E22" s="109"/>
      <c r="F22" s="109"/>
      <c r="G22" s="116"/>
      <c r="H22" s="110">
        <v>0</v>
      </c>
    </row>
    <row r="23" spans="2:9" ht="15">
      <c r="B23" s="113">
        <v>325525</v>
      </c>
      <c r="C23" s="109" t="s">
        <v>186</v>
      </c>
      <c r="D23" s="109"/>
      <c r="E23" s="109"/>
      <c r="F23" s="109"/>
      <c r="G23" s="109"/>
      <c r="H23" s="189">
        <f>+BCE!D68</f>
        <v>1900000</v>
      </c>
      <c r="I23" s="115"/>
    </row>
    <row r="24" spans="2:9" ht="12.75">
      <c r="B24" s="113"/>
      <c r="C24" s="109" t="s">
        <v>192</v>
      </c>
      <c r="D24" s="109"/>
      <c r="E24" s="109"/>
      <c r="F24" s="109"/>
      <c r="G24" s="109"/>
      <c r="H24" s="110">
        <f>+H25+H26</f>
        <v>284365752.3899988</v>
      </c>
      <c r="I24" s="114"/>
    </row>
    <row r="25" spans="2:9" ht="12.75">
      <c r="B25" s="113">
        <v>323000</v>
      </c>
      <c r="C25" s="109" t="s">
        <v>62</v>
      </c>
      <c r="D25" s="109"/>
      <c r="E25" s="109"/>
      <c r="F25" s="109"/>
      <c r="G25" s="109"/>
      <c r="H25" s="110">
        <f>IF(BCE!D67&lt;0,BCE!D67*-1,0)</f>
        <v>284365752.3899988</v>
      </c>
      <c r="I25" s="114"/>
    </row>
    <row r="26" spans="2:9" ht="12.75">
      <c r="B26" s="113">
        <v>324000</v>
      </c>
      <c r="C26" s="109" t="s">
        <v>236</v>
      </c>
      <c r="D26" s="109"/>
      <c r="E26" s="109"/>
      <c r="F26" s="109"/>
      <c r="G26" s="109"/>
      <c r="H26" s="110">
        <f>-BCE!H65</f>
        <v>0</v>
      </c>
      <c r="I26" s="114"/>
    </row>
    <row r="27" spans="2:8" ht="12.75">
      <c r="B27" s="111"/>
      <c r="C27" s="85"/>
      <c r="D27" s="85"/>
      <c r="E27" s="85"/>
      <c r="F27" s="85"/>
      <c r="G27" s="85"/>
      <c r="H27" s="112"/>
    </row>
    <row r="28" spans="2:9" ht="12.75">
      <c r="B28" s="113"/>
      <c r="C28" s="109" t="s">
        <v>193</v>
      </c>
      <c r="D28" s="109"/>
      <c r="E28" s="117"/>
      <c r="F28" s="118"/>
      <c r="G28" s="119"/>
      <c r="H28" s="110">
        <v>0</v>
      </c>
      <c r="I28" s="120"/>
    </row>
    <row r="29" spans="2:8" ht="12.75">
      <c r="B29" s="111"/>
      <c r="C29" s="85"/>
      <c r="D29" s="85"/>
      <c r="E29" s="121"/>
      <c r="F29" s="122"/>
      <c r="G29" s="123"/>
      <c r="H29" s="112"/>
    </row>
    <row r="30" spans="2:9" ht="12.75">
      <c r="B30" s="113"/>
      <c r="C30" s="109" t="s">
        <v>182</v>
      </c>
      <c r="D30" s="109"/>
      <c r="E30" s="117"/>
      <c r="F30" s="118"/>
      <c r="G30" s="124"/>
      <c r="H30" s="110">
        <f>+H20-H24</f>
        <v>-282465752.3899988</v>
      </c>
      <c r="I30" s="114"/>
    </row>
    <row r="31" spans="2:9" ht="12.75">
      <c r="B31" s="84"/>
      <c r="C31" s="84"/>
      <c r="D31" s="84"/>
      <c r="E31" s="122"/>
      <c r="F31" s="122"/>
      <c r="G31" s="125"/>
      <c r="H31" s="84"/>
      <c r="I31" s="114"/>
    </row>
    <row r="32" spans="2:8" ht="12.75">
      <c r="B32" s="14"/>
      <c r="C32" s="14"/>
      <c r="D32" s="14"/>
      <c r="E32" s="121"/>
      <c r="F32" s="122"/>
      <c r="G32" s="123"/>
      <c r="H32" s="14"/>
    </row>
    <row r="33" spans="2:8" ht="12.75">
      <c r="B33" s="14"/>
      <c r="C33" s="14"/>
      <c r="D33" s="14"/>
      <c r="E33" s="14"/>
      <c r="F33" s="14"/>
      <c r="G33" s="14"/>
      <c r="H33" s="14"/>
    </row>
    <row r="34" spans="2:8" ht="12.75">
      <c r="B34" s="84"/>
      <c r="C34" s="84"/>
      <c r="D34" s="84"/>
      <c r="E34" s="84"/>
      <c r="F34" s="84"/>
      <c r="G34" s="84"/>
      <c r="H34" s="84"/>
    </row>
    <row r="35" spans="2:8" ht="12.75">
      <c r="B35" s="84"/>
      <c r="C35" s="84"/>
      <c r="D35" s="84"/>
      <c r="E35" s="84"/>
      <c r="F35" s="84"/>
      <c r="G35" s="84"/>
      <c r="H35" s="84"/>
    </row>
    <row r="36" spans="2:8" ht="12.75">
      <c r="B36" s="84"/>
      <c r="C36" s="84"/>
      <c r="D36" s="84"/>
      <c r="E36" s="84"/>
      <c r="F36" s="84"/>
      <c r="G36" s="84"/>
      <c r="H36" s="84"/>
    </row>
    <row r="37" spans="2:8" ht="12.75">
      <c r="B37" s="106" t="str">
        <f>+BCE!B79</f>
        <v>ORIGINAL FIRMADO</v>
      </c>
      <c r="C37" s="84"/>
      <c r="D37" s="84"/>
      <c r="E37" s="106" t="str">
        <f>+B37</f>
        <v>ORIGINAL FIRMADO</v>
      </c>
      <c r="F37" s="84"/>
      <c r="H37" s="84"/>
    </row>
    <row r="38" spans="2:8" ht="12.75">
      <c r="B38" s="85" t="str">
        <f>+ANEXO4!A71</f>
        <v>MIRIAN ROCIO CARREÑO GUTIERREZ</v>
      </c>
      <c r="C38" s="85"/>
      <c r="D38" s="85"/>
      <c r="E38" s="85" t="str">
        <f>+ANEXO4!G71</f>
        <v>DIEGO FERNANDO MANCILLA LEON</v>
      </c>
      <c r="F38" s="85"/>
      <c r="G38" s="85"/>
      <c r="H38" s="85"/>
    </row>
    <row r="39" spans="2:8" ht="12.75">
      <c r="B39" s="85" t="str">
        <f>+ANEXO4!A72</f>
        <v>REPRESENTANTE LEGAL ( E )</v>
      </c>
      <c r="C39" s="126"/>
      <c r="D39" s="126"/>
      <c r="E39" s="85" t="str">
        <f>+ANEXO4!G72</f>
        <v>REVISOR FISCAL</v>
      </c>
      <c r="F39" s="85"/>
      <c r="G39" s="85"/>
      <c r="H39" s="85"/>
    </row>
    <row r="40" spans="2:8" ht="12.75">
      <c r="B40" s="85"/>
      <c r="C40" s="126"/>
      <c r="D40" s="126"/>
      <c r="E40" s="85" t="str">
        <f>+ANEXO4!G73</f>
        <v>T.P. 153902-T</v>
      </c>
      <c r="F40" s="85"/>
      <c r="G40" s="85"/>
      <c r="H40" s="85"/>
    </row>
    <row r="41" spans="2:8" ht="12.75">
      <c r="B41" s="85"/>
      <c r="C41" s="86"/>
      <c r="D41" s="86"/>
      <c r="E41" s="203" t="str">
        <f>+ANEXO4!G74</f>
        <v>En representacion de la firma </v>
      </c>
      <c r="F41" s="85"/>
      <c r="G41" s="85"/>
      <c r="H41" s="85"/>
    </row>
    <row r="42" spans="2:8" ht="12.75">
      <c r="B42" s="85"/>
      <c r="C42" s="86"/>
      <c r="D42" s="86"/>
      <c r="E42" s="203" t="str">
        <f>+ANEXO4!G75</f>
        <v>Leones Asociados S.A.S</v>
      </c>
      <c r="F42" s="85"/>
      <c r="G42" s="85"/>
      <c r="H42" s="85"/>
    </row>
    <row r="43" spans="3:8" ht="12.75">
      <c r="C43" s="86"/>
      <c r="D43" s="86"/>
      <c r="E43" s="203" t="str">
        <f>+ANEXO4!G76</f>
        <v>Ver Opinion Adjunta</v>
      </c>
      <c r="F43" s="85"/>
      <c r="G43" s="85"/>
      <c r="H43" s="85"/>
    </row>
    <row r="44" spans="2:8" ht="12.75">
      <c r="B44" s="106" t="str">
        <f>+B37</f>
        <v>ORIGINAL FIRMADO</v>
      </c>
      <c r="C44" s="126"/>
      <c r="D44" s="86"/>
      <c r="E44" s="85"/>
      <c r="F44" s="85"/>
      <c r="G44" s="85"/>
      <c r="H44" s="85"/>
    </row>
    <row r="45" spans="2:8" ht="12.75">
      <c r="B45" s="85" t="str">
        <f>+ANEXO4!A76</f>
        <v>EVER SANCHEZ FIGUEROA</v>
      </c>
      <c r="C45" s="126"/>
      <c r="D45" s="86"/>
      <c r="E45" s="85"/>
      <c r="F45" s="85"/>
      <c r="G45" s="85"/>
      <c r="H45" s="85"/>
    </row>
    <row r="46" spans="2:8" ht="12.75">
      <c r="B46" s="85" t="str">
        <f>+ANEXO4!A77</f>
        <v>CONTADOR</v>
      </c>
      <c r="C46" s="86"/>
      <c r="D46" s="86"/>
      <c r="E46" s="85"/>
      <c r="F46" s="85"/>
      <c r="G46" s="85"/>
      <c r="H46" s="85"/>
    </row>
    <row r="47" spans="2:8" ht="12.75">
      <c r="B47" s="85" t="str">
        <f>+ANEXO4!A78</f>
        <v>T.P. 134809-T</v>
      </c>
      <c r="C47" s="86"/>
      <c r="D47" s="86"/>
      <c r="E47" s="85"/>
      <c r="F47" s="85"/>
      <c r="G47" s="85"/>
      <c r="H47" s="85"/>
    </row>
    <row r="48" spans="2:8" ht="12.75">
      <c r="B48" s="85"/>
      <c r="C48" s="86"/>
      <c r="D48" s="86"/>
      <c r="E48" s="85"/>
      <c r="F48" s="85"/>
      <c r="G48" s="85"/>
      <c r="H48" s="85"/>
    </row>
    <row r="49" spans="3:7" ht="12.75">
      <c r="C49" s="85"/>
      <c r="D49" s="85"/>
      <c r="E49" s="85"/>
      <c r="F49" s="84"/>
      <c r="G49" s="85"/>
    </row>
    <row r="50" spans="3:7" ht="12.75">
      <c r="C50" s="85"/>
      <c r="D50" s="85"/>
      <c r="E50" s="85"/>
      <c r="F50" s="85"/>
      <c r="G50" s="85"/>
    </row>
    <row r="51" spans="3:8" ht="12.75">
      <c r="C51" s="85"/>
      <c r="D51" s="85"/>
      <c r="E51" s="85"/>
      <c r="F51" s="85" t="s">
        <v>183</v>
      </c>
      <c r="G51" s="85"/>
      <c r="H51" s="85"/>
    </row>
    <row r="52" spans="2:8" ht="12.75">
      <c r="B52" s="85"/>
      <c r="C52" s="126"/>
      <c r="D52" s="126"/>
      <c r="E52" s="85"/>
      <c r="F52" s="85" t="s">
        <v>183</v>
      </c>
      <c r="G52" s="85"/>
      <c r="H52" s="85"/>
    </row>
    <row r="53" spans="2:8" ht="12.75">
      <c r="B53" s="85"/>
      <c r="C53" s="127"/>
      <c r="D53" s="127"/>
      <c r="E53" s="85"/>
      <c r="F53" s="85" t="s">
        <v>183</v>
      </c>
      <c r="G53" s="85"/>
      <c r="H53" s="85"/>
    </row>
    <row r="54" spans="2:8" ht="12.75">
      <c r="B54" s="262"/>
      <c r="C54" s="262"/>
      <c r="D54" s="262"/>
      <c r="E54" s="84"/>
      <c r="F54" s="84"/>
      <c r="G54" s="84"/>
      <c r="H54" s="84"/>
    </row>
  </sheetData>
  <sheetProtection/>
  <mergeCells count="10">
    <mergeCell ref="B15:F15"/>
    <mergeCell ref="B18:H18"/>
    <mergeCell ref="B54:D54"/>
    <mergeCell ref="B6:H6"/>
    <mergeCell ref="B2:H2"/>
    <mergeCell ref="B3:H3"/>
    <mergeCell ref="B4:H4"/>
    <mergeCell ref="B5:H5"/>
    <mergeCell ref="B7:H7"/>
    <mergeCell ref="B11:F11"/>
  </mergeCells>
  <printOptions horizontalCentered="1"/>
  <pageMargins left="0.35433070866141736" right="0.14" top="0.9448818897637796" bottom="0.7086614173228347" header="0.07" footer="0.6299212598425197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zoomScalePageLayoutView="0" workbookViewId="0" topLeftCell="A40">
      <selection activeCell="D78" sqref="D78"/>
    </sheetView>
  </sheetViews>
  <sheetFormatPr defaultColWidth="11.421875" defaultRowHeight="12.75"/>
  <cols>
    <col min="1" max="1" width="8.00390625" style="13" customWidth="1"/>
    <col min="2" max="2" width="39.00390625" style="14" customWidth="1"/>
    <col min="3" max="3" width="5.8515625" style="14" customWidth="1"/>
    <col min="4" max="4" width="15.57421875" style="10" customWidth="1"/>
    <col min="5" max="5" width="8.8515625" style="36" customWidth="1"/>
    <col min="6" max="6" width="16.7109375" style="10" customWidth="1"/>
    <col min="7" max="7" width="3.140625" style="14" customWidth="1"/>
    <col min="8" max="8" width="16.421875" style="14" customWidth="1"/>
    <col min="9" max="9" width="14.421875" style="14" bestFit="1" customWidth="1"/>
    <col min="10" max="16384" width="11.421875" style="14" customWidth="1"/>
  </cols>
  <sheetData>
    <row r="1" spans="2:7" ht="12.75">
      <c r="B1" s="264"/>
      <c r="C1" s="264"/>
      <c r="D1" s="264"/>
      <c r="E1" s="264"/>
      <c r="F1" s="264"/>
      <c r="G1" s="107"/>
    </row>
    <row r="2" spans="2:6" ht="12.75">
      <c r="B2" s="264" t="s">
        <v>118</v>
      </c>
      <c r="C2" s="264"/>
      <c r="D2" s="264"/>
      <c r="E2" s="264"/>
      <c r="F2" s="264"/>
    </row>
    <row r="3" spans="2:6" ht="12.75">
      <c r="B3" s="264" t="s">
        <v>8</v>
      </c>
      <c r="C3" s="264"/>
      <c r="D3" s="264"/>
      <c r="E3" s="264"/>
      <c r="F3" s="264"/>
    </row>
    <row r="4" spans="2:6" ht="12.75">
      <c r="B4" s="264" t="s">
        <v>254</v>
      </c>
      <c r="C4" s="264"/>
      <c r="D4" s="264"/>
      <c r="E4" s="264"/>
      <c r="F4" s="264"/>
    </row>
    <row r="5" spans="2:6" ht="12.75">
      <c r="B5" s="265" t="s">
        <v>77</v>
      </c>
      <c r="C5" s="265"/>
      <c r="D5" s="265"/>
      <c r="E5" s="265"/>
      <c r="F5" s="265"/>
    </row>
    <row r="6" spans="2:6" ht="12.75">
      <c r="B6" s="265" t="s">
        <v>120</v>
      </c>
      <c r="C6" s="265"/>
      <c r="D6" s="265"/>
      <c r="E6" s="265"/>
      <c r="F6" s="265"/>
    </row>
    <row r="7" ht="12.75"/>
    <row r="8" spans="1:6" s="31" customFormat="1" ht="12.75">
      <c r="A8" s="23"/>
      <c r="D8" s="32" t="str">
        <f>BCE!D9</f>
        <v>Diciembre 31/15</v>
      </c>
      <c r="E8" s="35"/>
      <c r="F8" s="32" t="str">
        <f>+'ER'!E8</f>
        <v>Diciemb. 31/14</v>
      </c>
    </row>
    <row r="9" ht="12.75">
      <c r="B9" s="48"/>
    </row>
    <row r="10" spans="1:6" s="2" customFormat="1" ht="12.75">
      <c r="A10" s="3"/>
      <c r="B10" s="34" t="s">
        <v>9</v>
      </c>
      <c r="C10" s="34"/>
      <c r="D10" s="83">
        <f>+D12+D14+D23+D33</f>
        <v>1008365219.9400017</v>
      </c>
      <c r="E10" s="43"/>
      <c r="F10" s="83">
        <f>+F12+F14+F23+F33</f>
        <v>706334891.5800006</v>
      </c>
    </row>
    <row r="11" spans="4:6" ht="12.75">
      <c r="D11" s="36"/>
      <c r="F11" s="36"/>
    </row>
    <row r="12" spans="1:9" s="2" customFormat="1" ht="12.75">
      <c r="A12" s="3"/>
      <c r="B12" s="2" t="s">
        <v>10</v>
      </c>
      <c r="D12" s="36">
        <f>+F77</f>
        <v>318694386.0900006</v>
      </c>
      <c r="E12" s="36"/>
      <c r="F12" s="36">
        <v>542812996.0500007</v>
      </c>
      <c r="I12" s="45"/>
    </row>
    <row r="13" spans="4:6" ht="12.75">
      <c r="D13" s="36"/>
      <c r="F13" s="36"/>
    </row>
    <row r="14" spans="1:7" s="2" customFormat="1" ht="13.5" customHeight="1">
      <c r="A14" s="3"/>
      <c r="B14" s="2" t="s">
        <v>11</v>
      </c>
      <c r="D14" s="81">
        <f>SUM(D15:D21)</f>
        <v>-156036869.72999913</v>
      </c>
      <c r="E14" s="36"/>
      <c r="F14" s="81">
        <f>SUM(F15:F21)</f>
        <v>-754213032.0100005</v>
      </c>
      <c r="G14" s="45"/>
    </row>
    <row r="15" spans="2:6" ht="12.75">
      <c r="B15" s="36" t="str">
        <f>+BCE!B65</f>
        <v>Revalorización del Patrimonio</v>
      </c>
      <c r="D15" s="10">
        <f>+BCE!H65</f>
        <v>0</v>
      </c>
      <c r="F15" s="36">
        <v>-664711327</v>
      </c>
    </row>
    <row r="16" spans="2:6" ht="12.75">
      <c r="B16" s="36" t="str">
        <f>+'ER'!A40</f>
        <v>Excedente o Pérdida del Ejercicio</v>
      </c>
      <c r="D16" s="36">
        <f>+BCE!H67</f>
        <v>-50168982.44999915</v>
      </c>
      <c r="F16" s="10">
        <v>-773579694.4800005</v>
      </c>
    </row>
    <row r="17" spans="2:6" ht="12.75">
      <c r="B17" s="36" t="str">
        <f>+BCE!B23</f>
        <v>Propiedad Planta y Equipo</v>
      </c>
      <c r="D17" s="36">
        <v>0</v>
      </c>
      <c r="F17" s="10">
        <v>0</v>
      </c>
    </row>
    <row r="18" spans="2:7" ht="12.75">
      <c r="B18" s="36" t="str">
        <f>BCE!B24</f>
        <v>Bienes de uso publico historico y cultural</v>
      </c>
      <c r="D18" s="10">
        <v>0</v>
      </c>
      <c r="F18" s="10">
        <v>0</v>
      </c>
      <c r="G18" s="48"/>
    </row>
    <row r="19" spans="2:6" ht="12.75">
      <c r="B19" s="36" t="str">
        <f>+BCE!B19</f>
        <v>Provisión Cuetas por Cobrar </v>
      </c>
      <c r="D19" s="10">
        <v>0</v>
      </c>
      <c r="F19" s="36">
        <v>0</v>
      </c>
    </row>
    <row r="20" spans="2:6" ht="12.75">
      <c r="B20" s="4" t="s">
        <v>70</v>
      </c>
      <c r="D20" s="10">
        <f>-BCE!H27</f>
        <v>-105867887.27999997</v>
      </c>
      <c r="F20" s="36">
        <v>684077989.47</v>
      </c>
    </row>
    <row r="21" spans="2:7" ht="13.5" thickBot="1">
      <c r="B21" s="43"/>
      <c r="D21" s="37"/>
      <c r="E21" s="43"/>
      <c r="F21" s="42"/>
      <c r="G21" s="48"/>
    </row>
    <row r="22" spans="4:6" ht="12" customHeight="1">
      <c r="D22" s="36"/>
      <c r="F22" s="36"/>
    </row>
    <row r="23" spans="1:6" s="2" customFormat="1" ht="12.75">
      <c r="A23" s="3"/>
      <c r="B23" s="2" t="s">
        <v>12</v>
      </c>
      <c r="D23" s="81">
        <f>SUM(D24:D31)</f>
        <v>829721880.3600001</v>
      </c>
      <c r="E23" s="81"/>
      <c r="F23" s="81">
        <f>SUM(F24:F31)</f>
        <v>38428994.46999997</v>
      </c>
    </row>
    <row r="24" spans="2:6" ht="12.75">
      <c r="B24" s="14" t="str">
        <f>+BCE!B15</f>
        <v>Deudores</v>
      </c>
      <c r="D24" s="38">
        <f>IF(+BCE!H15&lt;0,-BCE!H15,0)</f>
        <v>61532114.29000002</v>
      </c>
      <c r="E24" s="38"/>
      <c r="F24" s="38">
        <v>38428994.46999997</v>
      </c>
    </row>
    <row r="25" spans="2:7" ht="12.75">
      <c r="B25" s="14" t="str">
        <f>+BCE!B16</f>
        <v>Inventarios</v>
      </c>
      <c r="D25" s="38">
        <f>IF(+BCE!H16&lt;0,-BCE!H16,0)</f>
        <v>33155631.99000001</v>
      </c>
      <c r="E25" s="38"/>
      <c r="F25" s="38">
        <v>0</v>
      </c>
      <c r="G25" s="15"/>
    </row>
    <row r="26" spans="2:6" ht="12.75">
      <c r="B26" s="14" t="str">
        <f>+BCE!B14</f>
        <v>Inversiones</v>
      </c>
      <c r="D26" s="38">
        <f>IF(+BCE!H14&lt;0,-BCE!H14,0)</f>
        <v>653936439.5400002</v>
      </c>
      <c r="E26" s="38"/>
      <c r="F26" s="38">
        <v>0</v>
      </c>
    </row>
    <row r="27" spans="2:6" ht="12.75">
      <c r="B27" s="14" t="str">
        <f>+BCE!B18</f>
        <v>Otras Cuentas por Cobrar </v>
      </c>
      <c r="D27" s="38">
        <f>IF(+BCE!H18&lt;0,-BCE!H18,0)</f>
        <v>0</v>
      </c>
      <c r="E27" s="38"/>
      <c r="F27" s="33">
        <v>0</v>
      </c>
    </row>
    <row r="28" spans="2:6" ht="12.75">
      <c r="B28" s="14" t="str">
        <f>+BCE!B19</f>
        <v>Provisión Cuetas por Cobrar </v>
      </c>
      <c r="D28" s="38">
        <f>IF(+BCE!H20&lt;0,-BCE!H20,0)</f>
        <v>0</v>
      </c>
      <c r="E28" s="38"/>
      <c r="F28" s="33">
        <v>0</v>
      </c>
    </row>
    <row r="29" spans="2:6" ht="12.75">
      <c r="B29" s="14" t="str">
        <f>+BCE!B23</f>
        <v>Propiedad Planta y Equipo</v>
      </c>
      <c r="D29" s="38">
        <f>IF(+BCE!H23&lt;0,-BCE!H23,0)</f>
        <v>81097694.53999996</v>
      </c>
      <c r="E29" s="38"/>
      <c r="F29" s="38">
        <v>0</v>
      </c>
    </row>
    <row r="30" spans="2:6" ht="12.75">
      <c r="B30" s="14" t="str">
        <f>+BCE!B25</f>
        <v>Muebles y Equipo de Oficina</v>
      </c>
      <c r="D30" s="10">
        <v>0</v>
      </c>
      <c r="E30" s="38"/>
      <c r="F30" s="38">
        <v>0</v>
      </c>
    </row>
    <row r="31" spans="4:6" ht="12.75">
      <c r="D31" s="39"/>
      <c r="E31" s="40"/>
      <c r="F31" s="39"/>
    </row>
    <row r="32" spans="4:6" ht="12.75">
      <c r="D32" s="36"/>
      <c r="F32" s="36"/>
    </row>
    <row r="33" spans="1:6" s="2" customFormat="1" ht="12.75">
      <c r="A33" s="3"/>
      <c r="B33" s="2" t="s">
        <v>14</v>
      </c>
      <c r="D33" s="81">
        <f>SUM(D34:D46)</f>
        <v>15985823.219999999</v>
      </c>
      <c r="E33" s="36"/>
      <c r="F33" s="81">
        <f>SUM(F34:F46)</f>
        <v>879305933.0700004</v>
      </c>
    </row>
    <row r="34" spans="4:6" ht="12.75">
      <c r="D34" s="38"/>
      <c r="E34" s="38"/>
      <c r="F34" s="38"/>
    </row>
    <row r="35" spans="2:6" ht="12.75">
      <c r="B35" s="14" t="str">
        <f>+BCE!B41</f>
        <v>Cuentas por Pagar</v>
      </c>
      <c r="D35" s="38">
        <f>IF(+BCE!H41&gt;0,+BCE!H41,0)</f>
        <v>4596444.219999999</v>
      </c>
      <c r="E35" s="38"/>
      <c r="F35" s="38">
        <v>4098361.9799999893</v>
      </c>
    </row>
    <row r="36" spans="2:6" ht="12.75">
      <c r="B36" s="14" t="str">
        <f>+BCE!B42</f>
        <v>Obligaciones laborales</v>
      </c>
      <c r="D36" s="38">
        <f>IF(+BCE!H42&gt;0,+BCE!H42,0)</f>
        <v>11389379</v>
      </c>
      <c r="E36" s="38"/>
      <c r="F36" s="38">
        <v>0</v>
      </c>
    </row>
    <row r="37" spans="2:6" ht="12.75">
      <c r="B37" s="14" t="str">
        <f>+BCE!B43</f>
        <v>Pasivos estimados</v>
      </c>
      <c r="D37" s="38">
        <f>IF(+BCE!H43&gt;0,+BCE!H43,0)</f>
        <v>0</v>
      </c>
      <c r="E37" s="38"/>
      <c r="F37" s="38">
        <v>300372182</v>
      </c>
    </row>
    <row r="38" spans="2:6" ht="12.75">
      <c r="B38" s="14" t="str">
        <f>+BCE!B44</f>
        <v>Otros pasivos</v>
      </c>
      <c r="D38" s="38">
        <f>IF(+BCE!H44&gt;0,+BCE!H44,0)</f>
        <v>0</v>
      </c>
      <c r="E38" s="38"/>
      <c r="F38" s="38">
        <v>25852992.549999997</v>
      </c>
    </row>
    <row r="39" spans="2:6" ht="12.75">
      <c r="B39" s="14">
        <f>+BCE!B45</f>
        <v>0</v>
      </c>
      <c r="D39" s="38">
        <f>IF(+BCE!H45&gt;0,+BCE!H45,0)</f>
        <v>0</v>
      </c>
      <c r="E39" s="38"/>
      <c r="F39" s="38">
        <v>0</v>
      </c>
    </row>
    <row r="40" spans="2:6" ht="12.75">
      <c r="B40" s="14" t="str">
        <f>+BCE!B48</f>
        <v>Obligaciones Laborales </v>
      </c>
      <c r="D40" s="38">
        <f>IF(+BCE!H48&gt;0,+BCE!H48,0)</f>
        <v>0</v>
      </c>
      <c r="E40" s="38"/>
      <c r="F40" s="38">
        <v>0</v>
      </c>
    </row>
    <row r="41" spans="2:6" ht="12.75">
      <c r="B41" s="14" t="str">
        <f>+BCE!B49</f>
        <v>Diferidos</v>
      </c>
      <c r="D41" s="38">
        <f>IF(+BCE!H49&gt;0,+BCE!H49,0)</f>
        <v>0</v>
      </c>
      <c r="E41" s="38"/>
      <c r="F41" s="38">
        <v>0</v>
      </c>
    </row>
    <row r="42" spans="2:6" ht="12.75">
      <c r="B42" s="14">
        <f>+BCE!B50</f>
        <v>0</v>
      </c>
      <c r="D42" s="38">
        <f>IF(+BCE!H50&gt;0,+BCE!H50,0)</f>
        <v>0</v>
      </c>
      <c r="E42" s="38"/>
      <c r="F42" s="38">
        <v>0</v>
      </c>
    </row>
    <row r="43" spans="2:6" ht="12.75">
      <c r="B43" s="14" t="str">
        <f>+BCE!B57</f>
        <v>Capital Social</v>
      </c>
      <c r="D43" s="38">
        <f>IF(+BCE!H57&gt;0,+BCE!H57,0)</f>
        <v>0</v>
      </c>
      <c r="E43" s="38"/>
      <c r="F43" s="38">
        <v>541371320.5400004</v>
      </c>
    </row>
    <row r="44" spans="2:6" ht="12.75">
      <c r="B44" s="14" t="str">
        <f>+BCE!B68</f>
        <v>Patrimonio institucional incorporado</v>
      </c>
      <c r="D44" s="38">
        <f>IF(+BCE!H68&gt;0,+BCE!H68,0)</f>
        <v>0</v>
      </c>
      <c r="E44" s="40"/>
      <c r="F44" s="38">
        <v>7611076</v>
      </c>
    </row>
    <row r="45" spans="4:6" ht="12.75">
      <c r="D45" s="38">
        <f>IF(+BCE!H66&gt;0,+BCE!H66,0)</f>
        <v>0</v>
      </c>
      <c r="E45" s="40"/>
      <c r="F45" s="38">
        <v>0</v>
      </c>
    </row>
    <row r="46" spans="4:6" ht="12.75">
      <c r="D46" s="39"/>
      <c r="E46" s="40"/>
      <c r="F46" s="46"/>
    </row>
    <row r="47" spans="4:6" ht="12.75">
      <c r="D47" s="40"/>
      <c r="E47" s="40"/>
      <c r="F47" s="40"/>
    </row>
    <row r="48" spans="4:6" ht="15" customHeight="1">
      <c r="D48" s="36"/>
      <c r="F48" s="36"/>
    </row>
    <row r="49" spans="1:6" s="2" customFormat="1" ht="15" customHeight="1">
      <c r="A49" s="3"/>
      <c r="B49" s="34" t="s">
        <v>15</v>
      </c>
      <c r="C49" s="34"/>
      <c r="D49" s="83">
        <f>+D52+D64</f>
        <v>267228560.52000052</v>
      </c>
      <c r="E49" s="43"/>
      <c r="F49" s="83">
        <f>+F52+F64</f>
        <v>387640505.49</v>
      </c>
    </row>
    <row r="50" spans="1:6" s="2" customFormat="1" ht="15" customHeight="1">
      <c r="A50" s="3"/>
      <c r="B50" s="34"/>
      <c r="C50" s="34"/>
      <c r="D50" s="43"/>
      <c r="E50" s="43"/>
      <c r="F50" s="43"/>
    </row>
    <row r="51" spans="3:6" ht="15" customHeight="1">
      <c r="C51" s="34"/>
      <c r="D51" s="36"/>
      <c r="F51" s="36"/>
    </row>
    <row r="52" spans="1:6" s="2" customFormat="1" ht="15" customHeight="1">
      <c r="A52" s="3"/>
      <c r="B52" s="2" t="s">
        <v>16</v>
      </c>
      <c r="D52" s="81">
        <f>SUM(D53:D62)</f>
        <v>0</v>
      </c>
      <c r="E52" s="36"/>
      <c r="F52" s="81">
        <f>SUM(F53:F62)</f>
        <v>381736392.49</v>
      </c>
    </row>
    <row r="53" spans="2:6" ht="15" customHeight="1">
      <c r="B53" s="14" t="str">
        <f>+BCE!B14</f>
        <v>Inversiones</v>
      </c>
      <c r="D53" s="38">
        <f>IF(+BCE!H14&gt;0,+BCE!H14,0)</f>
        <v>0</v>
      </c>
      <c r="E53" s="38"/>
      <c r="F53" s="38">
        <v>19620697.5</v>
      </c>
    </row>
    <row r="54" spans="2:6" ht="15" customHeight="1">
      <c r="B54" s="14" t="str">
        <f>+BCE!B15</f>
        <v>Deudores</v>
      </c>
      <c r="D54" s="38">
        <f>IF(+BCE!H15&gt;0,+BCE!H15,0)</f>
        <v>0</v>
      </c>
      <c r="E54" s="38"/>
      <c r="F54" s="38">
        <v>0</v>
      </c>
    </row>
    <row r="55" spans="2:6" ht="15" customHeight="1">
      <c r="B55" s="14" t="str">
        <f>+BCE!B16</f>
        <v>Inventarios</v>
      </c>
      <c r="D55" s="38">
        <f>IF(+BCE!H16&gt;0,+BCE!H16,0)</f>
        <v>0</v>
      </c>
      <c r="E55" s="33"/>
      <c r="F55" s="38">
        <v>26998073.60000001</v>
      </c>
    </row>
    <row r="56" spans="2:6" ht="15" customHeight="1">
      <c r="B56" s="14" t="str">
        <f>+BCE!B17</f>
        <v>Anticipos al Personal</v>
      </c>
      <c r="D56" s="38">
        <f>IF(+BCE!H17&gt;0,+BCE!H17,0)</f>
        <v>0</v>
      </c>
      <c r="E56" s="38"/>
      <c r="F56" s="38">
        <v>0</v>
      </c>
    </row>
    <row r="57" spans="2:7" ht="15" customHeight="1">
      <c r="B57" s="14" t="str">
        <f>+BCE!B18</f>
        <v>Otras Cuentas por Cobrar </v>
      </c>
      <c r="D57" s="38">
        <f>IF(+BCE!H18&gt;0,+BCE!H18,0)</f>
        <v>0</v>
      </c>
      <c r="E57" s="38"/>
      <c r="F57" s="38">
        <v>0</v>
      </c>
      <c r="G57" s="15"/>
    </row>
    <row r="58" spans="2:6" ht="12.75">
      <c r="B58" s="14" t="str">
        <f>+BCE!B23</f>
        <v>Propiedad Planta y Equipo</v>
      </c>
      <c r="D58" s="38">
        <f>IF(+BCE!H23&gt;0,+BCE!H23,0)</f>
        <v>0</v>
      </c>
      <c r="E58" s="38"/>
      <c r="F58" s="38">
        <v>335117621.39</v>
      </c>
    </row>
    <row r="59" spans="2:6" ht="12.75">
      <c r="B59" s="48" t="str">
        <f>+BCE!B24</f>
        <v>Bienes de uso publico historico y cultural</v>
      </c>
      <c r="D59" s="38">
        <f>IF(+BCE!H24&gt;0,+BCE!H24,0)</f>
        <v>0</v>
      </c>
      <c r="E59" s="38"/>
      <c r="F59" s="38">
        <v>0</v>
      </c>
    </row>
    <row r="60" spans="2:7" ht="12.75">
      <c r="B60" s="14" t="str">
        <f>+BCE!B25</f>
        <v>Muebles y Equipo de Oficina</v>
      </c>
      <c r="D60" s="38">
        <f>IF(+BCE!H25&gt;0,+BCE!H25,0)</f>
        <v>0</v>
      </c>
      <c r="E60" s="38"/>
      <c r="F60" s="38">
        <v>0</v>
      </c>
      <c r="G60" s="15"/>
    </row>
    <row r="61" spans="2:6" ht="12.75">
      <c r="B61" s="14" t="str">
        <f>+BCE!B26</f>
        <v>Equipo de Computación y  Comunicación</v>
      </c>
      <c r="D61" s="38">
        <f>IF(+BCE!H26&gt;0,+BCE!H26,0)</f>
        <v>0</v>
      </c>
      <c r="E61" s="38"/>
      <c r="F61" s="38">
        <v>0</v>
      </c>
    </row>
    <row r="62" spans="4:6" ht="12.75">
      <c r="D62" s="39"/>
      <c r="E62" s="40"/>
      <c r="F62" s="39"/>
    </row>
    <row r="63" spans="4:6" ht="12.75">
      <c r="D63" s="38"/>
      <c r="E63" s="38"/>
      <c r="F63" s="38"/>
    </row>
    <row r="64" spans="1:6" s="2" customFormat="1" ht="12.75">
      <c r="A64" s="3"/>
      <c r="B64" s="2" t="s">
        <v>18</v>
      </c>
      <c r="D64" s="81">
        <f>SUM(D65:D74)</f>
        <v>267228560.52000052</v>
      </c>
      <c r="E64" s="36"/>
      <c r="F64" s="81">
        <f>SUM(F65:F74)</f>
        <v>5904113</v>
      </c>
    </row>
    <row r="65" spans="2:6" ht="12.75">
      <c r="B65" s="14" t="str">
        <f>+BCE!B41</f>
        <v>Cuentas por Pagar</v>
      </c>
      <c r="D65" s="38">
        <f>IF(+BCE!H41&lt;0,-BCE!H41,0)</f>
        <v>0</v>
      </c>
      <c r="E65" s="38"/>
      <c r="F65" s="38">
        <v>0</v>
      </c>
    </row>
    <row r="66" spans="2:6" ht="12.75">
      <c r="B66" s="14" t="str">
        <f>+BCE!B42</f>
        <v>Obligaciones laborales</v>
      </c>
      <c r="D66" s="38">
        <f>IF(+BCE!H42&lt;0,-BCE!H42,0)</f>
        <v>0</v>
      </c>
      <c r="E66" s="38"/>
      <c r="F66" s="38">
        <v>5904113</v>
      </c>
    </row>
    <row r="67" spans="2:6" ht="12.75">
      <c r="B67" s="14" t="str">
        <f>+BCE!B43</f>
        <v>Pasivos estimados</v>
      </c>
      <c r="D67" s="38">
        <f>IF(+BCE!H43&lt;0,-BCE!H43,0)</f>
        <v>0</v>
      </c>
      <c r="E67" s="38"/>
      <c r="F67" s="38">
        <v>0</v>
      </c>
    </row>
    <row r="68" spans="2:6" ht="12.75">
      <c r="B68" s="14" t="str">
        <f>+BCE!B44</f>
        <v>Otros pasivos</v>
      </c>
      <c r="D68" s="38">
        <f>IF(+BCE!H44&lt;0,-BCE!H44,0)</f>
        <v>34931790.58</v>
      </c>
      <c r="E68" s="38"/>
      <c r="F68" s="38">
        <v>0</v>
      </c>
    </row>
    <row r="69" spans="2:7" ht="12.75">
      <c r="B69" s="14" t="str">
        <f>+BCE!B48</f>
        <v>Obligaciones Laborales </v>
      </c>
      <c r="D69" s="38">
        <f>IF(+BCE!H48&lt;0,-BCE!H48,0)</f>
        <v>0</v>
      </c>
      <c r="E69" s="38"/>
      <c r="F69" s="38">
        <v>0</v>
      </c>
      <c r="G69" s="15"/>
    </row>
    <row r="70" spans="2:6" ht="12.75">
      <c r="B70" s="14" t="str">
        <f>+BCE!B49</f>
        <v>Diferidos</v>
      </c>
      <c r="D70" s="33">
        <f>IF(+BCE!K49&lt;0,-BCE!K49,0)</f>
        <v>0</v>
      </c>
      <c r="E70" s="38"/>
      <c r="F70" s="33">
        <v>0</v>
      </c>
    </row>
    <row r="71" spans="2:6" ht="12.75">
      <c r="B71" s="14" t="str">
        <f>+BCE!B57</f>
        <v>Capital Social</v>
      </c>
      <c r="D71" s="38">
        <f>IF(+BCE!H57&lt;0,-BCE!H57,0)</f>
        <v>224597297.94000053</v>
      </c>
      <c r="E71" s="38"/>
      <c r="F71" s="38">
        <v>0</v>
      </c>
    </row>
    <row r="72" spans="2:6" ht="12.75">
      <c r="B72" s="14" t="str">
        <f>+BCE!B68</f>
        <v>Patrimonio institucional incorporado</v>
      </c>
      <c r="D72" s="38">
        <f>IF(+BCE!H68&lt;0,-BCE!H68,0)</f>
        <v>7699472</v>
      </c>
      <c r="E72" s="40"/>
      <c r="F72" s="38">
        <v>0</v>
      </c>
    </row>
    <row r="73" spans="2:6" ht="12.75">
      <c r="B73" s="14" t="str">
        <f>+BCE!B66</f>
        <v>Excedente o Pérdida de Ejercicios Anteriores</v>
      </c>
      <c r="D73" s="38">
        <v>0</v>
      </c>
      <c r="E73" s="40"/>
      <c r="F73" s="38">
        <v>0</v>
      </c>
    </row>
    <row r="74" spans="4:6" ht="12.75">
      <c r="D74" s="39"/>
      <c r="E74" s="40"/>
      <c r="F74" s="39"/>
    </row>
    <row r="75" spans="4:6" ht="12.75">
      <c r="D75" s="40"/>
      <c r="E75" s="40"/>
      <c r="F75" s="40"/>
    </row>
    <row r="76" spans="4:6" ht="12.75">
      <c r="D76" s="40"/>
      <c r="E76" s="40"/>
      <c r="F76" s="40"/>
    </row>
    <row r="77" spans="2:9" ht="13.5" thickBot="1">
      <c r="B77" s="9" t="s">
        <v>19</v>
      </c>
      <c r="C77" s="9"/>
      <c r="D77" s="11">
        <f>+D10-D49+1</f>
        <v>741136660.4200013</v>
      </c>
      <c r="E77" s="43"/>
      <c r="F77" s="11">
        <f>+F10-F49</f>
        <v>318694386.0900006</v>
      </c>
      <c r="I77" s="15"/>
    </row>
    <row r="78" ht="13.5" thickTop="1"/>
    <row r="80" spans="2:5" ht="12.75">
      <c r="B80" s="106" t="str">
        <f>+ECP!B37</f>
        <v>ORIGINAL FIRMADO</v>
      </c>
      <c r="E80" s="36" t="str">
        <f>+B80</f>
        <v>ORIGINAL FIRMADO</v>
      </c>
    </row>
    <row r="81" spans="2:5" ht="12.75">
      <c r="B81" s="9" t="str">
        <f>+ECP!B38</f>
        <v>MIRIAN ROCIO CARREÑO GUTIERREZ</v>
      </c>
      <c r="E81" s="9" t="str">
        <f>+ECP!E38</f>
        <v>DIEGO FERNANDO MANCILLA LEON</v>
      </c>
    </row>
    <row r="82" spans="2:5" ht="12.75">
      <c r="B82" s="9" t="str">
        <f>+ECP!B39</f>
        <v>REPRESENTANTE LEGAL ( E )</v>
      </c>
      <c r="E82" s="9" t="str">
        <f>+ECP!E39</f>
        <v>REVISOR FISCAL</v>
      </c>
    </row>
    <row r="83" spans="2:5" ht="12.75">
      <c r="B83" s="9"/>
      <c r="E83" s="9" t="str">
        <f>+ECP!E40</f>
        <v>T.P. 153902-T</v>
      </c>
    </row>
    <row r="84" spans="2:5" ht="12.75">
      <c r="B84" s="9"/>
      <c r="E84" s="36" t="str">
        <f>+ANEXO4!G74</f>
        <v>En representacion de la firma </v>
      </c>
    </row>
    <row r="85" spans="2:5" ht="12.75">
      <c r="B85" s="9"/>
      <c r="E85" s="36" t="str">
        <f>+ANEXO4!G75</f>
        <v>Leones Asociados S.A.S</v>
      </c>
    </row>
    <row r="86" spans="2:5" ht="12.75">
      <c r="B86" s="106" t="str">
        <f>+B80</f>
        <v>ORIGINAL FIRMADO</v>
      </c>
      <c r="E86" s="36" t="str">
        <f>+ANEXO4!G76</f>
        <v>Ver Opinion Adjunta</v>
      </c>
    </row>
    <row r="87" ht="12.75">
      <c r="B87" s="9" t="str">
        <f>+ECP!B45</f>
        <v>EVER SANCHEZ FIGUEROA</v>
      </c>
    </row>
    <row r="88" ht="12.75">
      <c r="B88" s="9" t="str">
        <f>+ECP!B46</f>
        <v>CONTADOR</v>
      </c>
    </row>
    <row r="89" ht="12.75">
      <c r="B89" s="9" t="str">
        <f>+ECP!B47</f>
        <v>T.P. 134809-T</v>
      </c>
    </row>
  </sheetData>
  <sheetProtection/>
  <mergeCells count="6">
    <mergeCell ref="B1:F1"/>
    <mergeCell ref="B2:F2"/>
    <mergeCell ref="B3:F3"/>
    <mergeCell ref="B4:F4"/>
    <mergeCell ref="B5:F5"/>
    <mergeCell ref="B6:F6"/>
  </mergeCells>
  <printOptions/>
  <pageMargins left="0.27" right="0.25" top="0.49" bottom="0.5" header="0.34" footer="0.5"/>
  <pageSetup horizontalDpi="600" verticalDpi="600" orientation="portrait" scale="90" r:id="rId4"/>
  <rowBreaks count="1" manualBreakCount="1">
    <brk id="62" max="8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H73"/>
  <sheetViews>
    <sheetView view="pageBreakPreview" zoomScale="60" zoomScaleNormal="95" zoomScalePageLayoutView="0" workbookViewId="0" topLeftCell="A1">
      <selection activeCell="D63" sqref="D63"/>
    </sheetView>
  </sheetViews>
  <sheetFormatPr defaultColWidth="11.421875" defaultRowHeight="12.75"/>
  <cols>
    <col min="1" max="1" width="2.140625" style="0" customWidth="1"/>
    <col min="2" max="2" width="59.57421875" style="0" bestFit="1" customWidth="1"/>
    <col min="3" max="3" width="7.57421875" style="0" customWidth="1"/>
    <col min="4" max="4" width="25.28125" style="195" customWidth="1"/>
    <col min="5" max="5" width="6.57421875" style="195" customWidth="1"/>
    <col min="6" max="6" width="21.57421875" style="195" customWidth="1"/>
    <col min="7" max="7" width="10.421875" style="0" customWidth="1"/>
    <col min="8" max="8" width="16.140625" style="0" bestFit="1" customWidth="1"/>
  </cols>
  <sheetData>
    <row r="2" spans="2:6" ht="12.75">
      <c r="B2" s="264" t="s">
        <v>118</v>
      </c>
      <c r="C2" s="264"/>
      <c r="D2" s="264"/>
      <c r="E2" s="264"/>
      <c r="F2" s="264"/>
    </row>
    <row r="3" spans="2:6" ht="12.75">
      <c r="B3" s="264" t="s">
        <v>231</v>
      </c>
      <c r="C3" s="264"/>
      <c r="D3" s="264"/>
      <c r="E3" s="264"/>
      <c r="F3" s="264"/>
    </row>
    <row r="4" spans="2:6" ht="12.75">
      <c r="B4" s="264" t="s">
        <v>254</v>
      </c>
      <c r="C4" s="264"/>
      <c r="D4" s="264"/>
      <c r="E4" s="264"/>
      <c r="F4" s="264"/>
    </row>
    <row r="5" spans="2:6" ht="12.75">
      <c r="B5" s="266" t="s">
        <v>77</v>
      </c>
      <c r="C5" s="266"/>
      <c r="D5" s="266"/>
      <c r="E5" s="266"/>
      <c r="F5" s="266"/>
    </row>
    <row r="6" spans="2:6" ht="12.75">
      <c r="B6" s="266" t="s">
        <v>120</v>
      </c>
      <c r="C6" s="266"/>
      <c r="D6" s="266"/>
      <c r="E6" s="266"/>
      <c r="F6" s="266"/>
    </row>
    <row r="7" spans="1:6" ht="15.75">
      <c r="A7" s="41"/>
      <c r="B7" s="8"/>
      <c r="C7" s="8"/>
      <c r="D7" s="192"/>
      <c r="E7" s="192"/>
      <c r="F7" s="192"/>
    </row>
    <row r="8" spans="1:6" ht="12.75">
      <c r="A8" s="1"/>
      <c r="C8" s="9" t="s">
        <v>1</v>
      </c>
      <c r="D8" s="193" t="str">
        <f>+'ER'!C8</f>
        <v>Diciembre 31/15</v>
      </c>
      <c r="E8" s="193"/>
      <c r="F8" s="193" t="str">
        <f>+'ER'!E8</f>
        <v>Diciemb. 31/14</v>
      </c>
    </row>
    <row r="9" spans="1:6" ht="12.75">
      <c r="A9" s="1"/>
      <c r="C9" s="9"/>
      <c r="D9" s="193"/>
      <c r="E9" s="193"/>
      <c r="F9" s="193"/>
    </row>
    <row r="11" spans="2:6" ht="12.75">
      <c r="B11" s="9" t="s">
        <v>69</v>
      </c>
      <c r="C11" s="30"/>
      <c r="D11" s="194">
        <f>SUM(D13+D17)</f>
        <v>-156036869.72999913</v>
      </c>
      <c r="E11" s="194"/>
      <c r="F11" s="194">
        <f>SUM(F13+F17+F24)</f>
        <v>-754213032.0100005</v>
      </c>
    </row>
    <row r="12" ht="12.75">
      <c r="B12" s="9"/>
    </row>
    <row r="13" spans="1:6" ht="12.75">
      <c r="A13" s="9"/>
      <c r="B13" s="9" t="s">
        <v>2</v>
      </c>
      <c r="C13" s="9"/>
      <c r="D13" s="194">
        <f>+D14</f>
        <v>-50168982.44999915</v>
      </c>
      <c r="E13" s="194"/>
      <c r="F13" s="194">
        <f>+F14</f>
        <v>-773579694.4800005</v>
      </c>
    </row>
    <row r="14" spans="2:8" ht="13.5" thickBot="1">
      <c r="B14" s="6" t="str">
        <f>+'[2]ER'!A44</f>
        <v>Resultado del Ejercicio</v>
      </c>
      <c r="C14" s="6"/>
      <c r="D14" s="196">
        <f>BCE!H67</f>
        <v>-50168982.44999915</v>
      </c>
      <c r="E14" s="197"/>
      <c r="F14" s="196">
        <v>-773579694.4800005</v>
      </c>
      <c r="H14" s="47"/>
    </row>
    <row r="15" spans="2:8" ht="12.75">
      <c r="B15" s="6"/>
      <c r="C15" s="6"/>
      <c r="D15" s="198"/>
      <c r="E15" s="198"/>
      <c r="F15" s="197"/>
      <c r="H15" s="47"/>
    </row>
    <row r="16" ht="12.75">
      <c r="H16" s="47"/>
    </row>
    <row r="17" spans="1:8" ht="12.75">
      <c r="A17" s="9"/>
      <c r="B17" s="9" t="s">
        <v>3</v>
      </c>
      <c r="C17" s="9"/>
      <c r="D17" s="194">
        <f>SUM(D18:D22)</f>
        <v>-105867887.27999997</v>
      </c>
      <c r="E17" s="194"/>
      <c r="F17" s="194">
        <f>SUM(F18:F22)</f>
        <v>19366662.47000003</v>
      </c>
      <c r="H17" s="47"/>
    </row>
    <row r="18" spans="2:8" ht="12.75">
      <c r="B18" s="6" t="str">
        <f>+'[2]ECSF'!B18</f>
        <v>Provisión Cuetas por Cobrar </v>
      </c>
      <c r="D18" s="195">
        <f>+'[2]ECSF'!D18</f>
        <v>0</v>
      </c>
      <c r="F18" s="195">
        <v>0</v>
      </c>
      <c r="H18" s="47"/>
    </row>
    <row r="19" spans="2:8" ht="12.75">
      <c r="B19" s="6" t="str">
        <f>'[2]ECSF'!B17</f>
        <v>Deudores</v>
      </c>
      <c r="D19" s="195">
        <f>+'[2]ECSF'!D17</f>
        <v>0</v>
      </c>
      <c r="F19" s="195">
        <v>0</v>
      </c>
      <c r="H19" s="47"/>
    </row>
    <row r="20" spans="2:8" ht="12.75">
      <c r="B20" s="6" t="str">
        <f>+'[2]ECSF'!B19</f>
        <v>Otros Activos</v>
      </c>
      <c r="D20" s="195">
        <f>+ECSF!D20</f>
        <v>-105867887.27999997</v>
      </c>
      <c r="F20" s="195">
        <v>684077989.47</v>
      </c>
      <c r="H20" s="47"/>
    </row>
    <row r="21" spans="2:8" ht="12.75">
      <c r="B21" s="6" t="str">
        <f>+'[2]ECSF'!B15</f>
        <v>Revalorización del Patrimonio</v>
      </c>
      <c r="D21" s="195">
        <f>+ECSF!H15</f>
        <v>0</v>
      </c>
      <c r="F21" s="195">
        <v>-664711327</v>
      </c>
      <c r="H21" s="47"/>
    </row>
    <row r="22" spans="2:8" ht="13.5" thickBot="1">
      <c r="B22" s="6"/>
      <c r="D22" s="199"/>
      <c r="E22" s="198"/>
      <c r="F22" s="196"/>
      <c r="H22" s="47"/>
    </row>
    <row r="23" spans="2:8" ht="14.25" customHeight="1">
      <c r="B23" s="6"/>
      <c r="D23" s="198"/>
      <c r="E23" s="198"/>
      <c r="F23" s="197"/>
      <c r="H23" s="47"/>
    </row>
    <row r="24" spans="1:6" ht="15" customHeight="1">
      <c r="A24" s="9"/>
      <c r="B24" s="9" t="s">
        <v>71</v>
      </c>
      <c r="C24" s="9"/>
      <c r="D24" s="195">
        <f>SUM(D25:D30)</f>
        <v>0</v>
      </c>
      <c r="F24" s="200">
        <f>SUM(F25:F30)</f>
        <v>0</v>
      </c>
    </row>
    <row r="25" spans="2:6" ht="12.75">
      <c r="B25" s="81"/>
      <c r="C25" s="4"/>
      <c r="D25" s="194"/>
      <c r="E25" s="194"/>
      <c r="F25" s="200"/>
    </row>
    <row r="26" spans="2:6" ht="12.75">
      <c r="B26" s="4" t="str">
        <f>IF('[2]EFE'!D26&gt;0,CONCATENATE("Aumento ",'[2]BCE'!B16),CONCATENATE("Disminución ",'[2]BCE'!B16))</f>
        <v>Disminución Inventarios</v>
      </c>
      <c r="C26" s="4"/>
      <c r="D26" s="195">
        <v>0</v>
      </c>
      <c r="F26" s="200">
        <v>0</v>
      </c>
    </row>
    <row r="27" spans="2:6" ht="12.75">
      <c r="B27" s="4" t="str">
        <f>IF('[2]EFE'!D27&lt;0,CONCATENATE("Aumento ",'[2]BCE'!B17),CONCATENATE("Disminución ",'[2]BCE'!B17))</f>
        <v>Disminución Anticipos al Personal</v>
      </c>
      <c r="C27" s="4"/>
      <c r="D27" s="195">
        <f>-'[2]BCE'!H17</f>
        <v>0</v>
      </c>
      <c r="F27" s="200">
        <v>0</v>
      </c>
    </row>
    <row r="28" spans="2:6" ht="12.75">
      <c r="B28" s="4" t="str">
        <f>IF('[2]EFE'!D28&lt;0,CONCATENATE("Aumento ",'[2]BCE'!B18),CONCATENATE("Disminución ",'[2]BCE'!B18))</f>
        <v>Disminución Otras Cuentas por Cobrar </v>
      </c>
      <c r="C28" s="4"/>
      <c r="D28" s="194">
        <f>-'[2]BCE'!H18</f>
        <v>0</v>
      </c>
      <c r="E28" s="194"/>
      <c r="F28" s="200">
        <v>0</v>
      </c>
    </row>
    <row r="29" spans="2:6" ht="12.75">
      <c r="B29" s="4" t="str">
        <f>IF('[2]EFE'!D29&lt;0,CONCATENATE("Aumento ",'[2]BCE'!B19),CONCATENATE("Disminución ",'[2]BCE'!B19))</f>
        <v>Disminución Provisión Cuetas por Cobrar </v>
      </c>
      <c r="C29" s="4"/>
      <c r="D29" s="195">
        <f>-'[2]BCE'!H20</f>
        <v>0</v>
      </c>
      <c r="F29" s="200">
        <v>0</v>
      </c>
    </row>
    <row r="30" spans="2:6" ht="12.75">
      <c r="B30" s="4"/>
      <c r="C30" s="4"/>
      <c r="F30" s="200"/>
    </row>
    <row r="31" spans="2:6" ht="13.5" customHeight="1">
      <c r="B31" s="9" t="s">
        <v>68</v>
      </c>
      <c r="C31" s="30"/>
      <c r="D31" s="194">
        <f>SUM(D33-D40)</f>
        <v>-578479143.0599996</v>
      </c>
      <c r="E31" s="194"/>
      <c r="F31" s="194">
        <f>F33-F40</f>
        <v>-530094422.05000037</v>
      </c>
    </row>
    <row r="33" spans="1:6" ht="12.75">
      <c r="A33" s="9"/>
      <c r="B33" s="9" t="s">
        <v>4</v>
      </c>
      <c r="C33" s="9"/>
      <c r="D33" s="194">
        <f>SUM(D34:D38)</f>
        <v>-829721880.3600001</v>
      </c>
      <c r="E33" s="194"/>
      <c r="F33" s="194">
        <f>SUM(F34:F38)</f>
        <v>343307398.02000004</v>
      </c>
    </row>
    <row r="34" spans="1:6" ht="12.75">
      <c r="A34" s="9"/>
      <c r="B34" s="4" t="str">
        <f>IF('[2]EFE'!F34&gt;0,CONCATENATE("Aumento ",'[2]BCE'!B14),CONCATENATE("Disminución ",'[2]BCE'!B14))</f>
        <v>Disminución Inversiones</v>
      </c>
      <c r="C34" s="9"/>
      <c r="D34" s="195">
        <f>BCE!H14</f>
        <v>-653936439.5400002</v>
      </c>
      <c r="F34" s="195">
        <v>19620697.5</v>
      </c>
    </row>
    <row r="35" spans="2:6" ht="12.75">
      <c r="B35" s="4" t="str">
        <f>IF('[2]EFE'!F35&gt;0,CONCATENATE("Aumento ",'[2]BCE'!B15),CONCATENATE("Disminución ",'[2]BCE'!B15))</f>
        <v>Disminución Deudores</v>
      </c>
      <c r="C35" s="4"/>
      <c r="D35" s="195">
        <f>BCE!H15</f>
        <v>-61532114.29000002</v>
      </c>
      <c r="F35" s="195">
        <v>-38428994.46999997</v>
      </c>
    </row>
    <row r="36" spans="2:6" ht="12.75">
      <c r="B36" s="4" t="str">
        <f>IF('[2]EFE'!F36&gt;0,CONCATENATE("Aumento ",'[2]BCE'!B16),CONCATENATE("Disminución ",'[2]BCE'!B16))</f>
        <v>Aumento Inventarios</v>
      </c>
      <c r="C36" s="4"/>
      <c r="D36" s="195">
        <f>+BCE!H16</f>
        <v>-33155631.99000001</v>
      </c>
      <c r="F36" s="195">
        <v>26998073.60000001</v>
      </c>
    </row>
    <row r="37" spans="2:6" ht="12.75">
      <c r="B37" s="4" t="str">
        <f>IF('[2]EFE'!F37&gt;0,CONCATENATE("Aumento ",'[2]BCE'!B23),CONCATENATE("Disminución ",'[2]BCE'!B23))</f>
        <v>Aumento Propiedad Planta y Equipo</v>
      </c>
      <c r="C37" s="4"/>
      <c r="D37" s="195">
        <f>+BCE!H23</f>
        <v>-81097694.53999996</v>
      </c>
      <c r="F37" s="195">
        <v>335117621.39</v>
      </c>
    </row>
    <row r="38" spans="2:6" ht="12.75">
      <c r="B38" s="44" t="s">
        <v>237</v>
      </c>
      <c r="C38" s="4"/>
      <c r="D38" s="195">
        <f>+BCE!H24</f>
        <v>0</v>
      </c>
      <c r="F38" s="195">
        <v>0</v>
      </c>
    </row>
    <row r="40" spans="1:8" ht="12.75">
      <c r="A40" s="9"/>
      <c r="B40" s="9" t="s">
        <v>5</v>
      </c>
      <c r="C40" s="9"/>
      <c r="D40" s="194">
        <f>SUM(D41:D50)</f>
        <v>-251242737.30000055</v>
      </c>
      <c r="E40" s="194"/>
      <c r="F40" s="194">
        <f>SUM(F41:F50)</f>
        <v>873401820.0700004</v>
      </c>
      <c r="H40" s="47"/>
    </row>
    <row r="41" spans="2:6" ht="12.75">
      <c r="B41" s="4" t="str">
        <f>IF('[2]EFE'!F41&gt;0,CONCATENATE("Aumento ",'[2]BCE'!B40),CONCATENATE("Disminución ",'[2]BCE'!B40))</f>
        <v>Disminución </v>
      </c>
      <c r="C41" s="4"/>
      <c r="D41" s="194"/>
      <c r="E41" s="194"/>
      <c r="F41" s="194"/>
    </row>
    <row r="42" spans="2:6" ht="12.75">
      <c r="B42" s="4" t="str">
        <f>IF('[2]EFE'!F42&gt;0,CONCATENATE("Aumento ",'[2]BCE'!B41),CONCATENATE("Disminución ",'[2]BCE'!B41))</f>
        <v>Aumento Cuentas por Pagar</v>
      </c>
      <c r="C42" s="4"/>
      <c r="D42" s="195">
        <f>BCE!H41</f>
        <v>4596444.219999999</v>
      </c>
      <c r="F42" s="195">
        <v>4098361.9799999893</v>
      </c>
    </row>
    <row r="43" spans="2:8" ht="12.75">
      <c r="B43" s="4" t="str">
        <f>IF('[2]EFE'!F43&gt;0,CONCATENATE("Aumento ",'[2]BCE'!B42),CONCATENATE("Disminución ",'[2]BCE'!B42))</f>
        <v>Aumento Obligaciones laborales</v>
      </c>
      <c r="C43" s="4"/>
      <c r="D43" s="195">
        <f>BCE!H42</f>
        <v>11389379</v>
      </c>
      <c r="F43" s="195">
        <v>-5904113</v>
      </c>
      <c r="H43" s="47"/>
    </row>
    <row r="44" spans="2:8" ht="12.75">
      <c r="B44" s="4" t="str">
        <f>IF('[2]EFE'!D44&gt;0,CONCATENATE("Aumento ",'[2]BCE'!B43),CONCATENATE("Disminución ",'[2]BCE'!B43))</f>
        <v>Disminución Pasivos estimados</v>
      </c>
      <c r="C44" s="4"/>
      <c r="D44" s="195">
        <f>+BCE!H43</f>
        <v>0</v>
      </c>
      <c r="F44" s="195">
        <v>300372182</v>
      </c>
      <c r="H44" s="47"/>
    </row>
    <row r="45" spans="2:6" ht="12.75">
      <c r="B45" s="4" t="str">
        <f>IF('[2]EFE'!F45&gt;0,CONCATENATE("Aumento ",'[2]BCE'!B44),CONCATENATE("Disminución ",'[2]BCE'!B44))</f>
        <v>Aumento Otros pasivos</v>
      </c>
      <c r="C45" s="4"/>
      <c r="D45" s="195">
        <f>BCE!H44</f>
        <v>-34931790.58</v>
      </c>
      <c r="F45" s="195">
        <v>25852992.549999997</v>
      </c>
    </row>
    <row r="46" spans="2:6" ht="13.5" customHeight="1">
      <c r="B46" s="4" t="str">
        <f>IF('[2]EFE'!F46&gt;0,CONCATENATE("Aumento ",'[2]BCE'!B48),CONCATENATE("Disminución ",'[2]BCE'!B48))</f>
        <v>Disminución Obligaciones Laborales </v>
      </c>
      <c r="C46" s="4"/>
      <c r="D46" s="195">
        <f>+BCE!H48</f>
        <v>0</v>
      </c>
      <c r="F46" s="195">
        <v>0</v>
      </c>
    </row>
    <row r="47" spans="2:6" ht="12.75">
      <c r="B47" s="4" t="str">
        <f>IF('[2]EFE'!F47&gt;0,CONCATENATE("Aumento ",'[2]BCE'!B49),CONCATENATE("Disminución ",'[2]BCE'!B49))</f>
        <v>Disminución Diferidos</v>
      </c>
      <c r="C47" s="4"/>
      <c r="D47" s="195">
        <f>+BCE!H49</f>
        <v>0</v>
      </c>
      <c r="F47" s="195">
        <v>0</v>
      </c>
    </row>
    <row r="48" spans="2:7" ht="12.75">
      <c r="B48" s="4" t="str">
        <f>IF('[2]EFE'!F48&gt;0,CONCATENATE("Aumento ",'[2]BCE'!B56),CONCATENATE("Disminución ",'[2]BCE'!B56))</f>
        <v>Aumento Capital Social</v>
      </c>
      <c r="C48" s="4"/>
      <c r="D48" s="195">
        <f>BCE!H57</f>
        <v>-224597297.94000053</v>
      </c>
      <c r="F48" s="195">
        <v>541371320.5400004</v>
      </c>
      <c r="G48" s="47"/>
    </row>
    <row r="49" spans="2:6" ht="12.75">
      <c r="B49" s="4" t="str">
        <f>IF('[2]EFE'!F49&gt;0,CONCATENATE("Aumento ",'[2]BCE'!B67),CONCATENATE("Disminución ",'[2]BCE'!B67))</f>
        <v>Aumento Patrimonio institucional incorporado</v>
      </c>
      <c r="C49" s="4"/>
      <c r="D49" s="195">
        <f>BCE!H68</f>
        <v>-7699472</v>
      </c>
      <c r="F49" s="195">
        <v>7611076</v>
      </c>
    </row>
    <row r="50" spans="2:6" ht="12.75">
      <c r="B50" s="4" t="str">
        <f>IF('[2]EFE'!D50&gt;0,CONCATENATE("Aumento ",'[2]BCE'!B65),CONCATENATE("Disminución ",'[2]BCE'!B65))</f>
        <v>Disminución Excedente o Pérdida de Ejercicios Anteriores</v>
      </c>
      <c r="C50" s="4"/>
      <c r="D50" s="194">
        <v>0</v>
      </c>
      <c r="E50" s="194"/>
      <c r="F50" s="194">
        <v>0</v>
      </c>
    </row>
    <row r="51" spans="2:6" ht="12.75">
      <c r="B51" s="4"/>
      <c r="C51" s="4"/>
      <c r="D51" s="194"/>
      <c r="E51" s="194"/>
      <c r="F51" s="194"/>
    </row>
    <row r="52" spans="2:3" ht="12.75">
      <c r="B52" s="4"/>
      <c r="C52" s="4"/>
    </row>
    <row r="53" spans="2:8" s="9" customFormat="1" ht="13.5" thickBot="1">
      <c r="B53" s="81" t="str">
        <f>IF('[2]EFE'!D53&gt;0,CONCATENATE("AUMENTO ","DE EFECTIVO"),CONCATENATE("DISMINUCION ","DE EFECTIVO"))</f>
        <v>AUMENTO DE EFECTIVO</v>
      </c>
      <c r="D53" s="199">
        <f>SUM(D11-D31)</f>
        <v>422442273.33000046</v>
      </c>
      <c r="E53" s="198"/>
      <c r="F53" s="199">
        <f>SUM(F11-F31)</f>
        <v>-224118609.9600001</v>
      </c>
      <c r="H53" s="190"/>
    </row>
    <row r="54" spans="2:6" s="9" customFormat="1" ht="12.75">
      <c r="B54" s="81"/>
      <c r="D54" s="198"/>
      <c r="E54" s="198"/>
      <c r="F54" s="198"/>
    </row>
    <row r="56" spans="2:6" ht="12.75">
      <c r="B56" s="9" t="s">
        <v>6</v>
      </c>
      <c r="C56" s="9"/>
      <c r="D56" s="195">
        <f>+ECSF!D12</f>
        <v>318694386.0900006</v>
      </c>
      <c r="F56" s="195">
        <v>542812996.0500007</v>
      </c>
    </row>
    <row r="58" spans="2:8" ht="13.5" thickBot="1">
      <c r="B58" s="9" t="s">
        <v>7</v>
      </c>
      <c r="C58" s="9"/>
      <c r="D58" s="201">
        <f>SUM(D53+D56)+1</f>
        <v>741136660.420001</v>
      </c>
      <c r="E58" s="198"/>
      <c r="F58" s="201">
        <f>SUM(F53+F56)</f>
        <v>318694386.09000057</v>
      </c>
      <c r="H58" s="191"/>
    </row>
    <row r="59" ht="13.5" thickTop="1"/>
    <row r="62" ht="12.75">
      <c r="D62" s="202"/>
    </row>
    <row r="63" spans="2:4" ht="12.75">
      <c r="B63" s="106" t="str">
        <f>+ECSF!B80</f>
        <v>ORIGINAL FIRMADO</v>
      </c>
      <c r="D63" s="106" t="str">
        <f>+B63</f>
        <v>ORIGINAL FIRMADO</v>
      </c>
    </row>
    <row r="64" spans="2:4" ht="12.75">
      <c r="B64" s="9" t="str">
        <f>+ECSF!B81</f>
        <v>MIRIAN ROCIO CARREÑO GUTIERREZ</v>
      </c>
      <c r="D64" s="194" t="str">
        <f>+ECSF!E81</f>
        <v>DIEGO FERNANDO MANCILLA LEON</v>
      </c>
    </row>
    <row r="65" spans="2:4" ht="12.75">
      <c r="B65" s="9" t="str">
        <f>+ECSF!B82</f>
        <v>REPRESENTANTE LEGAL ( E )</v>
      </c>
      <c r="D65" s="194" t="str">
        <f>+ECSF!E82</f>
        <v>REVISOR FISCAL</v>
      </c>
    </row>
    <row r="66" spans="2:4" ht="12.75">
      <c r="B66" s="9"/>
      <c r="D66" s="194" t="str">
        <f>+ECSF!E83</f>
        <v>T.P. 153902-T</v>
      </c>
    </row>
    <row r="67" spans="2:4" ht="12.75">
      <c r="B67" s="9"/>
      <c r="D67" s="195" t="str">
        <f>+ECSF!E84</f>
        <v>En representacion de la firma </v>
      </c>
    </row>
    <row r="68" spans="2:4" ht="12.75">
      <c r="B68" s="9"/>
      <c r="D68" s="195" t="str">
        <f>+ECSF!E85</f>
        <v>Leones Asociados S.A.S</v>
      </c>
    </row>
    <row r="69" spans="2:4" ht="12.75">
      <c r="B69" s="9"/>
      <c r="D69" s="195" t="str">
        <f>+ECSF!E86</f>
        <v>Ver Opinion Adjunta</v>
      </c>
    </row>
    <row r="70" ht="12.75">
      <c r="B70" s="106" t="str">
        <f>+B63</f>
        <v>ORIGINAL FIRMADO</v>
      </c>
    </row>
    <row r="71" ht="12.75">
      <c r="B71" s="9" t="str">
        <f>+ECSF!B87</f>
        <v>EVER SANCHEZ FIGUEROA</v>
      </c>
    </row>
    <row r="72" ht="12.75">
      <c r="B72" s="9" t="str">
        <f>+ECSF!B88</f>
        <v>CONTADOR</v>
      </c>
    </row>
    <row r="73" ht="12.75">
      <c r="B73" s="9" t="str">
        <f>+ECSF!B89</f>
        <v>T.P. 134809-T</v>
      </c>
    </row>
  </sheetData>
  <sheetProtection/>
  <mergeCells count="5">
    <mergeCell ref="B2:F2"/>
    <mergeCell ref="B3:F3"/>
    <mergeCell ref="B4:F4"/>
    <mergeCell ref="B5:F5"/>
    <mergeCell ref="B6:F6"/>
  </mergeCells>
  <printOptions/>
  <pageMargins left="0.25" right="0.25" top="0.54" bottom="0.79" header="0.51" footer="0.5118110236220472"/>
  <pageSetup horizontalDpi="600" verticalDpi="600"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1"/>
  <sheetViews>
    <sheetView tabSelected="1" zoomScalePageLayoutView="0" workbookViewId="0" topLeftCell="A50">
      <selection activeCell="F71" sqref="F71"/>
    </sheetView>
  </sheetViews>
  <sheetFormatPr defaultColWidth="11.421875" defaultRowHeight="12.75"/>
  <cols>
    <col min="1" max="1" width="36.00390625" style="0" bestFit="1" customWidth="1"/>
    <col min="2" max="2" width="2.7109375" style="0" customWidth="1"/>
    <col min="3" max="3" width="25.00390625" style="0" bestFit="1" customWidth="1"/>
    <col min="4" max="4" width="14.57421875" style="0" bestFit="1" customWidth="1"/>
    <col min="5" max="5" width="2.7109375" style="0" customWidth="1"/>
    <col min="6" max="6" width="26.140625" style="0" bestFit="1" customWidth="1"/>
    <col min="7" max="7" width="15.421875" style="0" bestFit="1" customWidth="1"/>
    <col min="8" max="8" width="2.7109375" style="0" customWidth="1"/>
    <col min="9" max="9" width="12.28125" style="0" bestFit="1" customWidth="1"/>
    <col min="10" max="10" width="13.8515625" style="0" bestFit="1" customWidth="1"/>
  </cols>
  <sheetData>
    <row r="1" spans="1:8" ht="12.75">
      <c r="A1" s="267" t="s">
        <v>197</v>
      </c>
      <c r="B1" s="267"/>
      <c r="C1" s="267"/>
      <c r="D1" s="267"/>
      <c r="E1" s="267"/>
      <c r="F1" s="267"/>
      <c r="G1" s="267"/>
      <c r="H1" s="128"/>
    </row>
    <row r="2" spans="1:8" ht="12.75">
      <c r="A2" s="267" t="s">
        <v>118</v>
      </c>
      <c r="B2" s="267"/>
      <c r="C2" s="267"/>
      <c r="D2" s="267"/>
      <c r="E2" s="267"/>
      <c r="F2" s="267"/>
      <c r="G2" s="267"/>
      <c r="H2" s="128"/>
    </row>
    <row r="3" spans="1:8" ht="12.75">
      <c r="A3" s="268" t="s">
        <v>198</v>
      </c>
      <c r="B3" s="268"/>
      <c r="C3" s="268"/>
      <c r="D3" s="268"/>
      <c r="E3" s="268"/>
      <c r="F3" s="268"/>
      <c r="G3" s="268"/>
      <c r="H3" s="129"/>
    </row>
    <row r="4" spans="1:8" ht="12.75">
      <c r="A4" s="269" t="s">
        <v>258</v>
      </c>
      <c r="B4" s="269"/>
      <c r="C4" s="269"/>
      <c r="D4" s="269"/>
      <c r="E4" s="269"/>
      <c r="F4" s="269"/>
      <c r="G4" s="269"/>
      <c r="H4" s="130"/>
    </row>
    <row r="5" spans="1:8" ht="12.75">
      <c r="A5" s="130"/>
      <c r="B5" s="130"/>
      <c r="C5" s="130"/>
      <c r="D5" s="130"/>
      <c r="E5" s="130"/>
      <c r="F5" s="130"/>
      <c r="G5" s="130"/>
      <c r="H5" s="130"/>
    </row>
    <row r="6" spans="1:8" ht="12.75">
      <c r="A6" s="130"/>
      <c r="B6" s="130"/>
      <c r="C6" s="130"/>
      <c r="D6" s="130"/>
      <c r="E6" s="130"/>
      <c r="F6" s="130"/>
      <c r="G6" s="130"/>
      <c r="H6" s="130"/>
    </row>
    <row r="7" spans="1:8" ht="14.25" customHeight="1">
      <c r="A7" s="130"/>
      <c r="B7" s="130"/>
      <c r="C7" s="130"/>
      <c r="D7" s="130"/>
      <c r="E7" s="130"/>
      <c r="F7" s="130"/>
      <c r="G7" s="130"/>
      <c r="H7" s="130"/>
    </row>
    <row r="8" spans="1:8" ht="25.5" customHeight="1">
      <c r="A8" s="131"/>
      <c r="B8" s="132"/>
      <c r="C8" s="270" t="s">
        <v>257</v>
      </c>
      <c r="D8" s="271"/>
      <c r="E8" s="132"/>
      <c r="F8" s="272" t="s">
        <v>247</v>
      </c>
      <c r="G8" s="273"/>
      <c r="H8" s="132"/>
    </row>
    <row r="9" spans="1:8" ht="13.5">
      <c r="A9" s="133" t="s">
        <v>199</v>
      </c>
      <c r="B9" s="134"/>
      <c r="C9" s="135"/>
      <c r="D9" s="136"/>
      <c r="E9" s="137"/>
      <c r="F9" s="135"/>
      <c r="G9" s="136"/>
      <c r="H9" s="137"/>
    </row>
    <row r="10" spans="1:8" ht="7.5" customHeight="1">
      <c r="A10" s="137"/>
      <c r="B10" s="134"/>
      <c r="C10" s="135"/>
      <c r="D10" s="136"/>
      <c r="E10" s="137"/>
      <c r="F10" s="135"/>
      <c r="G10" s="136"/>
      <c r="H10" s="137"/>
    </row>
    <row r="11" spans="1:8" ht="14.25" thickBot="1">
      <c r="A11" s="138" t="s">
        <v>200</v>
      </c>
      <c r="B11" s="139"/>
      <c r="C11" s="140">
        <f>+ANEXO2!D11</f>
        <v>2528410325.62</v>
      </c>
      <c r="D11" s="274">
        <f>+C11/C12</f>
        <v>4.727647082779349</v>
      </c>
      <c r="E11" s="141"/>
      <c r="F11" s="140">
        <f>+ANEXO2!F11</f>
        <v>2854592238.11</v>
      </c>
      <c r="G11" s="274">
        <f>+F11/F12</f>
        <v>5.154930051234936</v>
      </c>
      <c r="H11" s="141"/>
    </row>
    <row r="12" spans="1:8" ht="13.5">
      <c r="A12" s="137" t="s">
        <v>201</v>
      </c>
      <c r="B12" s="142"/>
      <c r="C12" s="143">
        <f>+ANEXO2!D71</f>
        <v>534813678.21</v>
      </c>
      <c r="D12" s="274"/>
      <c r="E12" s="145"/>
      <c r="F12" s="143">
        <f>+ANEXO2!F71</f>
        <v>553759645.57</v>
      </c>
      <c r="G12" s="275"/>
      <c r="H12" s="145"/>
    </row>
    <row r="13" spans="1:8" ht="7.5" customHeight="1">
      <c r="A13" s="137"/>
      <c r="B13" s="146"/>
      <c r="C13" s="147"/>
      <c r="D13" s="136"/>
      <c r="E13" s="148"/>
      <c r="F13" s="147"/>
      <c r="G13" s="136"/>
      <c r="H13" s="137"/>
    </row>
    <row r="14" spans="1:8" ht="13.5">
      <c r="A14" s="149" t="s">
        <v>202</v>
      </c>
      <c r="B14" s="146"/>
      <c r="C14" s="147"/>
      <c r="D14" s="136"/>
      <c r="E14" s="148"/>
      <c r="F14" s="147"/>
      <c r="G14" s="136"/>
      <c r="H14" s="137"/>
    </row>
    <row r="15" spans="1:8" ht="7.5" customHeight="1">
      <c r="A15" s="137"/>
      <c r="B15" s="146"/>
      <c r="C15" s="147"/>
      <c r="D15" s="136"/>
      <c r="E15" s="148"/>
      <c r="F15" s="147"/>
      <c r="G15" s="136"/>
      <c r="H15" s="137"/>
    </row>
    <row r="16" spans="1:8" ht="14.25" thickBot="1">
      <c r="A16" s="138" t="s">
        <v>203</v>
      </c>
      <c r="B16" s="139"/>
      <c r="C16" s="140">
        <f>+ANEXO2!D11-ANEXO2!D26</f>
        <v>2403429202.81</v>
      </c>
      <c r="D16" s="274">
        <f>+C16/C17</f>
        <v>4.493956121044214</v>
      </c>
      <c r="E16" s="141"/>
      <c r="F16" s="140">
        <f>+ANEXO2!F11-ANEXO2!F26</f>
        <v>2696455483.31</v>
      </c>
      <c r="G16" s="274">
        <f>+F16/F17</f>
        <v>4.869360750428942</v>
      </c>
      <c r="H16" s="141"/>
    </row>
    <row r="17" spans="1:8" ht="13.5">
      <c r="A17" s="137" t="s">
        <v>201</v>
      </c>
      <c r="B17" s="142"/>
      <c r="C17" s="143">
        <f>+C12</f>
        <v>534813678.21</v>
      </c>
      <c r="D17" s="274"/>
      <c r="E17" s="145"/>
      <c r="F17" s="143">
        <f>+F12</f>
        <v>553759645.57</v>
      </c>
      <c r="G17" s="275"/>
      <c r="H17" s="145"/>
    </row>
    <row r="18" spans="1:8" ht="7.5" customHeight="1">
      <c r="A18" s="137"/>
      <c r="B18" s="142"/>
      <c r="C18" s="143"/>
      <c r="D18" s="144"/>
      <c r="E18" s="145"/>
      <c r="F18" s="143"/>
      <c r="G18" s="144"/>
      <c r="H18" s="145"/>
    </row>
    <row r="19" spans="1:8" ht="13.5">
      <c r="A19" s="149" t="s">
        <v>204</v>
      </c>
      <c r="B19" s="146"/>
      <c r="C19" s="147"/>
      <c r="D19" s="136"/>
      <c r="E19" s="148"/>
      <c r="F19" s="147"/>
      <c r="G19" s="136"/>
      <c r="H19" s="137"/>
    </row>
    <row r="20" spans="1:8" ht="7.5" customHeight="1">
      <c r="A20" s="137"/>
      <c r="B20" s="146"/>
      <c r="C20" s="147"/>
      <c r="D20" s="136"/>
      <c r="E20" s="148"/>
      <c r="F20" s="147"/>
      <c r="G20" s="136"/>
      <c r="H20" s="137"/>
    </row>
    <row r="21" spans="1:8" ht="14.25" thickBot="1">
      <c r="A21" s="138" t="s">
        <v>205</v>
      </c>
      <c r="B21" s="139"/>
      <c r="C21" s="150">
        <f>+C11-ANEXO2!D20-ANEXO2!D26</f>
        <v>2009949749.71</v>
      </c>
      <c r="D21" s="274">
        <f>+C21/C22</f>
        <v>3.7582242781022757</v>
      </c>
      <c r="E21" s="141"/>
      <c r="F21" s="150">
        <f>+F11-ANEXO2!F20-ANEXO2!F26</f>
        <v>2241443915.92</v>
      </c>
      <c r="G21" s="274">
        <f>+F21/F22</f>
        <v>4.0476837448363</v>
      </c>
      <c r="H21" s="141"/>
    </row>
    <row r="22" spans="1:8" ht="13.5">
      <c r="A22" s="137" t="s">
        <v>201</v>
      </c>
      <c r="B22" s="142"/>
      <c r="C22" s="143">
        <f>+C17</f>
        <v>534813678.21</v>
      </c>
      <c r="D22" s="274"/>
      <c r="E22" s="145"/>
      <c r="F22" s="143">
        <f>+F17</f>
        <v>553759645.57</v>
      </c>
      <c r="G22" s="275"/>
      <c r="H22" s="145"/>
    </row>
    <row r="23" spans="1:8" ht="7.5" customHeight="1">
      <c r="A23" s="137"/>
      <c r="B23" s="142"/>
      <c r="C23" s="143"/>
      <c r="D23" s="144"/>
      <c r="E23" s="145"/>
      <c r="F23" s="143"/>
      <c r="G23" s="144"/>
      <c r="H23" s="145"/>
    </row>
    <row r="24" spans="1:8" ht="13.5">
      <c r="A24" s="149" t="s">
        <v>206</v>
      </c>
      <c r="B24" s="146"/>
      <c r="C24" s="143"/>
      <c r="D24" s="136"/>
      <c r="E24" s="148"/>
      <c r="F24" s="143"/>
      <c r="G24" s="136"/>
      <c r="H24" s="137"/>
    </row>
    <row r="25" spans="1:8" ht="7.5" customHeight="1">
      <c r="A25" s="137"/>
      <c r="B25" s="146"/>
      <c r="C25" s="143"/>
      <c r="D25" s="136"/>
      <c r="E25" s="148"/>
      <c r="F25" s="143"/>
      <c r="G25" s="136"/>
      <c r="H25" s="137"/>
    </row>
    <row r="26" spans="1:10" ht="13.5">
      <c r="A26" s="137" t="s">
        <v>207</v>
      </c>
      <c r="B26" s="151"/>
      <c r="C26" s="147" t="s">
        <v>259</v>
      </c>
      <c r="D26" s="152">
        <f>+C11-C12</f>
        <v>1993596647.4099998</v>
      </c>
      <c r="E26" s="153"/>
      <c r="F26" s="147" t="s">
        <v>249</v>
      </c>
      <c r="G26" s="154">
        <f>+F11-F12</f>
        <v>2300832592.54</v>
      </c>
      <c r="H26" s="153"/>
      <c r="J26" s="178"/>
    </row>
    <row r="27" spans="1:8" ht="7.5" customHeight="1">
      <c r="A27" s="137"/>
      <c r="B27" s="146"/>
      <c r="C27" s="143"/>
      <c r="D27" s="136"/>
      <c r="E27" s="148"/>
      <c r="F27" s="143"/>
      <c r="G27" s="136"/>
      <c r="H27" s="137"/>
    </row>
    <row r="28" spans="1:8" ht="13.5">
      <c r="A28" s="133" t="s">
        <v>208</v>
      </c>
      <c r="B28" s="155"/>
      <c r="C28" s="143"/>
      <c r="D28" s="136"/>
      <c r="E28" s="156"/>
      <c r="F28" s="143"/>
      <c r="G28" s="136"/>
      <c r="H28" s="137"/>
    </row>
    <row r="29" spans="1:8" ht="7.5" customHeight="1">
      <c r="A29" s="137"/>
      <c r="B29" s="146"/>
      <c r="C29" s="143"/>
      <c r="D29" s="136"/>
      <c r="E29" s="148"/>
      <c r="F29" s="143"/>
      <c r="G29" s="136"/>
      <c r="H29" s="137"/>
    </row>
    <row r="30" spans="1:8" ht="14.25" thickBot="1">
      <c r="A30" s="157" t="s">
        <v>209</v>
      </c>
      <c r="B30" s="158"/>
      <c r="C30" s="140">
        <f>+ANEXO4!C13+ANEXO4!C15</f>
        <v>1257471002.13</v>
      </c>
      <c r="D30" s="276">
        <f>+C30/C31</f>
        <v>3.1957729742254743</v>
      </c>
      <c r="E30" s="159"/>
      <c r="F30" s="140">
        <f>+ANEXO4!E13+ANEXO4!E15</f>
        <v>1258127125.5</v>
      </c>
      <c r="G30" s="274">
        <f>+F30/F31</f>
        <v>2.7650442662738564</v>
      </c>
      <c r="H30" s="159"/>
    </row>
    <row r="31" spans="1:8" ht="13.5">
      <c r="A31" s="137" t="s">
        <v>210</v>
      </c>
      <c r="B31" s="158"/>
      <c r="C31" s="143">
        <f>+ANEXO2!D20</f>
        <v>393479453.1</v>
      </c>
      <c r="D31" s="276"/>
      <c r="E31" s="159"/>
      <c r="F31" s="143">
        <f>+ANEXO2!F20</f>
        <v>455011567.39000005</v>
      </c>
      <c r="G31" s="275"/>
      <c r="H31" s="159"/>
    </row>
    <row r="32" spans="1:8" ht="7.5" customHeight="1">
      <c r="A32" s="137"/>
      <c r="B32" s="160"/>
      <c r="C32" s="143"/>
      <c r="D32" s="161"/>
      <c r="E32" s="162"/>
      <c r="F32" s="143"/>
      <c r="G32" s="161"/>
      <c r="H32" s="162"/>
    </row>
    <row r="33" spans="1:8" ht="13.5">
      <c r="A33" s="133" t="s">
        <v>211</v>
      </c>
      <c r="B33" s="146"/>
      <c r="C33" s="143"/>
      <c r="D33" s="136"/>
      <c r="E33" s="148"/>
      <c r="F33" s="143"/>
      <c r="G33" s="136"/>
      <c r="H33" s="137"/>
    </row>
    <row r="34" spans="1:8" ht="15" customHeight="1">
      <c r="A34" s="130" t="s">
        <v>212</v>
      </c>
      <c r="B34" s="146"/>
      <c r="C34" s="143"/>
      <c r="D34" s="136"/>
      <c r="E34" s="148"/>
      <c r="F34" s="143"/>
      <c r="G34" s="136"/>
      <c r="H34" s="137"/>
    </row>
    <row r="35" spans="1:8" ht="15" customHeight="1" thickBot="1">
      <c r="A35" s="157" t="s">
        <v>213</v>
      </c>
      <c r="B35" s="146"/>
      <c r="C35" s="140">
        <f>+C12</f>
        <v>534813678.21</v>
      </c>
      <c r="D35" s="277">
        <f>+C35/C36</f>
        <v>0.11344471125947135</v>
      </c>
      <c r="E35" s="148"/>
      <c r="F35" s="140">
        <f>+F22</f>
        <v>553759645.57</v>
      </c>
      <c r="G35" s="277">
        <f>+F35/F36</f>
        <v>0.11040475106666252</v>
      </c>
      <c r="H35" s="137"/>
    </row>
    <row r="36" spans="1:8" ht="15" customHeight="1">
      <c r="A36" s="137" t="s">
        <v>214</v>
      </c>
      <c r="B36" s="146"/>
      <c r="C36" s="143">
        <f>+ANEXO2!D60</f>
        <v>4714311247.059999</v>
      </c>
      <c r="D36" s="277"/>
      <c r="E36" s="148"/>
      <c r="F36" s="143">
        <f>+ANEXO2!F60</f>
        <v>5015722966.81</v>
      </c>
      <c r="G36" s="278"/>
      <c r="H36" s="137"/>
    </row>
    <row r="37" spans="1:8" ht="15" customHeight="1">
      <c r="A37" s="130" t="s">
        <v>215</v>
      </c>
      <c r="B37" s="146"/>
      <c r="C37" s="143"/>
      <c r="D37" s="136"/>
      <c r="E37" s="148"/>
      <c r="F37" s="143"/>
      <c r="G37" s="136"/>
      <c r="H37" s="137"/>
    </row>
    <row r="38" spans="1:8" ht="14.25" thickBot="1">
      <c r="A38" s="157" t="s">
        <v>216</v>
      </c>
      <c r="B38" s="164"/>
      <c r="C38" s="140">
        <f>+BCE!D56</f>
        <v>4179497568.850001</v>
      </c>
      <c r="D38" s="277">
        <f>+C38/C39</f>
        <v>0.8865552887405289</v>
      </c>
      <c r="E38" s="165"/>
      <c r="F38" s="140">
        <f>+BCE!F56</f>
        <v>4461963321.240001</v>
      </c>
      <c r="G38" s="277">
        <f>+F38/F39</f>
        <v>0.8895952489333375</v>
      </c>
      <c r="H38" s="165"/>
    </row>
    <row r="39" spans="1:8" ht="13.5">
      <c r="A39" s="137" t="s">
        <v>214</v>
      </c>
      <c r="B39" s="166"/>
      <c r="C39" s="143">
        <f>+C36</f>
        <v>4714311247.059999</v>
      </c>
      <c r="D39" s="277"/>
      <c r="E39" s="167"/>
      <c r="F39" s="143">
        <f>+F36</f>
        <v>5015722966.81</v>
      </c>
      <c r="G39" s="278"/>
      <c r="H39" s="167"/>
    </row>
    <row r="40" spans="1:8" ht="7.5" customHeight="1">
      <c r="A40" s="137"/>
      <c r="B40" s="166"/>
      <c r="C40" s="143"/>
      <c r="D40" s="163"/>
      <c r="E40" s="167"/>
      <c r="F40" s="143"/>
      <c r="G40" s="163"/>
      <c r="H40" s="167"/>
    </row>
    <row r="41" spans="1:8" ht="13.5">
      <c r="A41" s="133" t="s">
        <v>217</v>
      </c>
      <c r="B41" s="146"/>
      <c r="C41" s="143"/>
      <c r="D41" s="136"/>
      <c r="E41" s="148"/>
      <c r="F41" s="143"/>
      <c r="G41" s="136"/>
      <c r="H41" s="137"/>
    </row>
    <row r="42" spans="1:8" ht="13.5">
      <c r="A42" s="130" t="s">
        <v>218</v>
      </c>
      <c r="B42" s="146"/>
      <c r="C42" s="143"/>
      <c r="D42" s="136"/>
      <c r="E42" s="148"/>
      <c r="F42" s="143"/>
      <c r="G42" s="136"/>
      <c r="H42" s="137"/>
    </row>
    <row r="43" spans="1:8" ht="14.25" thickBot="1">
      <c r="A43" s="157" t="s">
        <v>219</v>
      </c>
      <c r="B43" s="164"/>
      <c r="C43" s="140">
        <f>+'ER'!C44</f>
        <v>-284365752.3899988</v>
      </c>
      <c r="D43" s="277">
        <f>+C43/C44</f>
        <v>-0.06031968138873705</v>
      </c>
      <c r="E43" s="165"/>
      <c r="F43" s="140">
        <f>+'ER'!E44</f>
        <v>-234196769.93999964</v>
      </c>
      <c r="G43" s="277">
        <f>+F43/F44</f>
        <v>-0.046692524983880594</v>
      </c>
      <c r="H43" s="165"/>
    </row>
    <row r="44" spans="1:8" ht="13.5">
      <c r="A44" s="137" t="s">
        <v>220</v>
      </c>
      <c r="B44" s="166"/>
      <c r="C44" s="143">
        <f>+C36</f>
        <v>4714311247.059999</v>
      </c>
      <c r="D44" s="277"/>
      <c r="E44" s="167"/>
      <c r="F44" s="143">
        <f>+F36</f>
        <v>5015722966.81</v>
      </c>
      <c r="G44" s="278"/>
      <c r="H44" s="167"/>
    </row>
    <row r="45" spans="1:8" ht="13.5">
      <c r="A45" s="130" t="s">
        <v>221</v>
      </c>
      <c r="B45" s="166"/>
      <c r="C45" s="143"/>
      <c r="D45" s="163"/>
      <c r="E45" s="167"/>
      <c r="F45" s="143"/>
      <c r="G45" s="163"/>
      <c r="H45" s="167"/>
    </row>
    <row r="46" spans="1:10" ht="14.25" thickBot="1">
      <c r="A46" s="157" t="s">
        <v>222</v>
      </c>
      <c r="B46" s="164"/>
      <c r="C46" s="140">
        <f>+ANEXO4!C12+ANEXO4!C49</f>
        <v>12581537773.18</v>
      </c>
      <c r="D46" s="277">
        <f>+C46/C47</f>
        <v>0.9778977238695405</v>
      </c>
      <c r="E46" s="165"/>
      <c r="F46" s="140">
        <f>+ANEXO4!E12+ANEXO4!E49</f>
        <v>12084398539.67</v>
      </c>
      <c r="G46" s="277">
        <f>+F46/F47</f>
        <v>0.9809883542681772</v>
      </c>
      <c r="H46" s="165"/>
      <c r="I46" s="178"/>
      <c r="J46" s="178"/>
    </row>
    <row r="47" spans="1:8" ht="13.5">
      <c r="A47" s="137" t="s">
        <v>223</v>
      </c>
      <c r="B47" s="166"/>
      <c r="C47" s="143">
        <f>+ANEXO4!C23+ANEXO4!C54</f>
        <v>12865903525.57</v>
      </c>
      <c r="D47" s="277"/>
      <c r="E47" s="167"/>
      <c r="F47" s="143">
        <f>+ANEXO4!E23+ANEXO4!E54</f>
        <v>12318595309.609999</v>
      </c>
      <c r="G47" s="278"/>
      <c r="H47" s="167"/>
    </row>
    <row r="48" spans="1:8" ht="7.5" customHeight="1">
      <c r="A48" s="137"/>
      <c r="B48" s="168"/>
      <c r="C48" s="143"/>
      <c r="D48" s="136"/>
      <c r="E48" s="169"/>
      <c r="F48" s="143"/>
      <c r="G48" s="136"/>
      <c r="H48" s="137"/>
    </row>
    <row r="49" spans="1:8" ht="25.5">
      <c r="A49" s="170" t="s">
        <v>224</v>
      </c>
      <c r="B49" s="168"/>
      <c r="C49" s="143"/>
      <c r="D49" s="136"/>
      <c r="E49" s="169"/>
      <c r="F49" s="143"/>
      <c r="G49" s="136"/>
      <c r="H49" s="137"/>
    </row>
    <row r="50" spans="1:8" ht="14.25" thickBot="1">
      <c r="A50" s="171" t="s">
        <v>225</v>
      </c>
      <c r="B50" s="164"/>
      <c r="C50" s="140">
        <f>+ANEXO4!C18+ANEXO4!C20</f>
        <v>11196190261</v>
      </c>
      <c r="D50" s="277">
        <f>+C50/C51</f>
        <v>0.8898904460523785</v>
      </c>
      <c r="E50" s="165"/>
      <c r="F50" s="140">
        <f>+ANEXO4!E18+ANEXO4!E20</f>
        <v>10654383834</v>
      </c>
      <c r="G50" s="277">
        <f>+F50/F51</f>
        <v>0.8816643872696166</v>
      </c>
      <c r="H50" s="165"/>
    </row>
    <row r="51" spans="1:8" ht="13.5">
      <c r="A51" s="137" t="s">
        <v>222</v>
      </c>
      <c r="B51" s="166"/>
      <c r="C51" s="143">
        <f>+C46</f>
        <v>12581537773.18</v>
      </c>
      <c r="D51" s="277"/>
      <c r="E51" s="167"/>
      <c r="F51" s="143">
        <f>+F46</f>
        <v>12084398539.67</v>
      </c>
      <c r="G51" s="278"/>
      <c r="H51" s="167"/>
    </row>
    <row r="52" spans="1:8" ht="7.5" customHeight="1">
      <c r="A52" s="137"/>
      <c r="B52" s="146"/>
      <c r="C52" s="172"/>
      <c r="D52" s="173"/>
      <c r="E52" s="148"/>
      <c r="F52" s="172"/>
      <c r="G52" s="173"/>
      <c r="H52" s="137"/>
    </row>
    <row r="53" spans="1:8" ht="13.5">
      <c r="A53" s="133" t="s">
        <v>226</v>
      </c>
      <c r="B53" s="146"/>
      <c r="C53" s="143"/>
      <c r="D53" s="174"/>
      <c r="E53" s="148"/>
      <c r="F53" s="143"/>
      <c r="G53" s="136"/>
      <c r="H53" s="137"/>
    </row>
    <row r="54" spans="1:8" ht="7.5" customHeight="1">
      <c r="A54" s="130"/>
      <c r="B54" s="146"/>
      <c r="C54" s="143"/>
      <c r="D54" s="174"/>
      <c r="E54" s="148"/>
      <c r="F54" s="143"/>
      <c r="G54" s="136"/>
      <c r="H54" s="137"/>
    </row>
    <row r="55" spans="1:8" ht="14.25" thickBot="1">
      <c r="A55" s="157" t="s">
        <v>227</v>
      </c>
      <c r="B55" s="164"/>
      <c r="C55" s="150">
        <f>+ANEXO4!C45+ANEXO4!C37</f>
        <v>-340578104.2099988</v>
      </c>
      <c r="D55" s="277">
        <f>+C55/C56</f>
        <v>-0.2708437042548907</v>
      </c>
      <c r="E55" s="165"/>
      <c r="F55" s="150">
        <f>+ANEXO4!E45+ANEXO4!E37</f>
        <v>24469075.10000038</v>
      </c>
      <c r="G55" s="277">
        <f>+F55/F56</f>
        <v>0.01944880974589589</v>
      </c>
      <c r="H55" s="165"/>
    </row>
    <row r="56" spans="1:8" ht="13.5">
      <c r="A56" s="137" t="s">
        <v>228</v>
      </c>
      <c r="B56" s="166"/>
      <c r="C56" s="143">
        <f>+ANEXO4!C13+ANEXO4!C15</f>
        <v>1257471002.13</v>
      </c>
      <c r="D56" s="277"/>
      <c r="E56" s="167"/>
      <c r="F56" s="143">
        <f>+ANEXO4!E13+ANEXO4!E15</f>
        <v>1258127125.5</v>
      </c>
      <c r="G56" s="278"/>
      <c r="H56" s="167"/>
    </row>
    <row r="57" spans="1:8" ht="6" customHeight="1">
      <c r="A57" s="137"/>
      <c r="B57" s="166"/>
      <c r="C57" s="146"/>
      <c r="D57" s="166"/>
      <c r="E57" s="167"/>
      <c r="F57" s="146"/>
      <c r="G57" s="166"/>
      <c r="H57" s="167"/>
    </row>
    <row r="58" spans="1:8" ht="13.5">
      <c r="A58" s="170" t="s">
        <v>229</v>
      </c>
      <c r="B58" s="168"/>
      <c r="C58" s="143"/>
      <c r="D58" s="175"/>
      <c r="E58" s="169"/>
      <c r="F58" s="143"/>
      <c r="G58" s="176"/>
      <c r="H58" s="137"/>
    </row>
    <row r="59" spans="1:8" ht="7.5" customHeight="1">
      <c r="A59" s="170"/>
      <c r="B59" s="168"/>
      <c r="C59" s="143"/>
      <c r="D59" s="175"/>
      <c r="E59" s="169"/>
      <c r="F59" s="143"/>
      <c r="G59" s="176"/>
      <c r="H59" s="137"/>
    </row>
    <row r="60" spans="1:8" ht="14.25" thickBot="1">
      <c r="A60" s="171" t="s">
        <v>230</v>
      </c>
      <c r="B60" s="164"/>
      <c r="C60" s="140">
        <f>+ANEXO2!D26+ANEXO2!D20-ANEXO2!D73</f>
        <v>446743008.59000003</v>
      </c>
      <c r="D60" s="277">
        <f>+C60/C61</f>
        <v>0.3552710224198194</v>
      </c>
      <c r="E60" s="165"/>
      <c r="F60" s="140">
        <f>+'[1]Anexo 2'!D24+'[1]Anexo 2'!D19-'[1]Anexo 2'!I12</f>
        <v>412338361</v>
      </c>
      <c r="G60" s="277">
        <f>+F60/F61</f>
        <v>0.32773982266389023</v>
      </c>
      <c r="H60" s="165"/>
    </row>
    <row r="61" spans="1:8" ht="13.5">
      <c r="A61" s="137" t="s">
        <v>228</v>
      </c>
      <c r="B61" s="166"/>
      <c r="C61" s="143">
        <f>+C56</f>
        <v>1257471002.13</v>
      </c>
      <c r="D61" s="277"/>
      <c r="E61" s="167"/>
      <c r="F61" s="143">
        <f>+F56</f>
        <v>1258127125.5</v>
      </c>
      <c r="G61" s="278"/>
      <c r="H61" s="167"/>
    </row>
    <row r="62" spans="1:8" ht="7.5" customHeight="1">
      <c r="A62" s="137"/>
      <c r="B62" s="146"/>
      <c r="C62" s="172"/>
      <c r="D62" s="177"/>
      <c r="E62" s="148"/>
      <c r="F62" s="172"/>
      <c r="G62" s="173"/>
      <c r="H62" s="137"/>
    </row>
    <row r="63" spans="1:8" ht="13.5">
      <c r="A63" s="137"/>
      <c r="B63" s="166"/>
      <c r="C63" s="146"/>
      <c r="D63" s="166"/>
      <c r="E63" s="167"/>
      <c r="F63" s="146"/>
      <c r="G63" s="166"/>
      <c r="H63" s="167"/>
    </row>
    <row r="64" spans="1:8" ht="13.5">
      <c r="A64" s="137"/>
      <c r="B64" s="166"/>
      <c r="C64" s="146"/>
      <c r="D64" s="166"/>
      <c r="E64" s="167"/>
      <c r="F64" s="146"/>
      <c r="G64" s="166"/>
      <c r="H64" s="167"/>
    </row>
    <row r="65" spans="1:8" ht="13.5">
      <c r="A65" s="137"/>
      <c r="B65" s="166"/>
      <c r="C65" s="146"/>
      <c r="D65" s="166"/>
      <c r="E65" s="167"/>
      <c r="F65" s="146"/>
      <c r="G65" s="166"/>
      <c r="H65" s="167"/>
    </row>
    <row r="66" spans="1:8" ht="13.5">
      <c r="A66" s="137"/>
      <c r="B66" s="166"/>
      <c r="C66" s="146"/>
      <c r="D66" s="166"/>
      <c r="E66" s="167"/>
      <c r="F66" s="146"/>
      <c r="G66" s="166"/>
      <c r="H66" s="167"/>
    </row>
    <row r="67" spans="1:8" ht="13.5">
      <c r="A67" s="137"/>
      <c r="B67" s="166"/>
      <c r="C67" s="146"/>
      <c r="D67" s="166"/>
      <c r="E67" s="167"/>
      <c r="F67" s="146"/>
      <c r="G67" s="166"/>
      <c r="H67" s="167"/>
    </row>
    <row r="68" spans="1:8" ht="13.5">
      <c r="A68" s="137"/>
      <c r="B68" s="166"/>
      <c r="C68" s="146"/>
      <c r="D68" s="166"/>
      <c r="E68" s="167"/>
      <c r="F68" s="146"/>
      <c r="G68" s="166"/>
      <c r="H68" s="167"/>
    </row>
    <row r="69" spans="1:8" ht="13.5">
      <c r="A69" s="137"/>
      <c r="B69" s="166"/>
      <c r="C69" s="146" t="str">
        <f>+EFE!B63</f>
        <v>ORIGINAL FIRMADO</v>
      </c>
      <c r="D69" s="166"/>
      <c r="E69" s="167"/>
      <c r="F69" s="146"/>
      <c r="G69" s="166"/>
      <c r="H69" s="167"/>
    </row>
    <row r="70" spans="2:8" ht="13.5">
      <c r="B70" s="148"/>
      <c r="C70" s="133" t="str">
        <f>+EFE!B71</f>
        <v>EVER SANCHEZ FIGUEROA</v>
      </c>
      <c r="D70" s="148"/>
      <c r="E70" s="148"/>
      <c r="F70" s="148"/>
      <c r="G70" s="137"/>
      <c r="H70" s="137"/>
    </row>
    <row r="71" spans="2:8" ht="13.5">
      <c r="B71" s="156"/>
      <c r="C71" s="137" t="str">
        <f>+EFE!B72</f>
        <v>CONTADOR</v>
      </c>
      <c r="D71" s="148"/>
      <c r="E71" s="148"/>
      <c r="F71" s="148"/>
      <c r="G71" s="137"/>
      <c r="H71" s="137"/>
    </row>
    <row r="72" spans="2:8" ht="13.5">
      <c r="B72" s="137"/>
      <c r="C72" s="137" t="str">
        <f>+EFE!B73</f>
        <v>T.P. 134809-T</v>
      </c>
      <c r="D72" s="137"/>
      <c r="E72" s="137"/>
      <c r="F72" s="137"/>
      <c r="G72" s="137"/>
      <c r="H72" s="137"/>
    </row>
    <row r="73" spans="1:8" ht="13.5">
      <c r="A73" s="137"/>
      <c r="B73" s="137"/>
      <c r="C73" s="137"/>
      <c r="D73" s="137"/>
      <c r="E73" s="137"/>
      <c r="F73" s="137"/>
      <c r="G73" s="137"/>
      <c r="H73" s="137"/>
    </row>
    <row r="74" spans="1:8" ht="13.5">
      <c r="A74" s="137"/>
      <c r="B74" s="137"/>
      <c r="C74" s="137"/>
      <c r="D74" s="137"/>
      <c r="E74" s="137"/>
      <c r="F74" s="137"/>
      <c r="G74" s="137"/>
      <c r="H74" s="137"/>
    </row>
    <row r="75" spans="1:8" ht="13.5">
      <c r="A75" s="137"/>
      <c r="B75" s="137"/>
      <c r="C75" s="137"/>
      <c r="D75" s="137"/>
      <c r="E75" s="137"/>
      <c r="F75" s="137"/>
      <c r="G75" s="137"/>
      <c r="H75" s="137"/>
    </row>
    <row r="76" spans="1:8" ht="13.5">
      <c r="A76" s="137"/>
      <c r="B76" s="137"/>
      <c r="C76" s="137"/>
      <c r="D76" s="137"/>
      <c r="E76" s="137"/>
      <c r="F76" s="137"/>
      <c r="G76" s="137"/>
      <c r="H76" s="137"/>
    </row>
    <row r="77" spans="1:8" ht="13.5">
      <c r="A77" s="137"/>
      <c r="B77" s="137"/>
      <c r="C77" s="137"/>
      <c r="D77" s="137"/>
      <c r="E77" s="137"/>
      <c r="F77" s="137"/>
      <c r="G77" s="137"/>
      <c r="H77" s="137"/>
    </row>
    <row r="78" spans="1:8" ht="13.5">
      <c r="A78" s="137"/>
      <c r="B78" s="137"/>
      <c r="C78" s="137"/>
      <c r="D78" s="137"/>
      <c r="E78" s="137"/>
      <c r="F78" s="137"/>
      <c r="G78" s="137"/>
      <c r="H78" s="137"/>
    </row>
    <row r="79" spans="1:8" ht="13.5">
      <c r="A79" s="137"/>
      <c r="B79" s="137"/>
      <c r="C79" s="137"/>
      <c r="D79" s="137"/>
      <c r="E79" s="137"/>
      <c r="F79" s="137"/>
      <c r="G79" s="137"/>
      <c r="H79" s="137"/>
    </row>
    <row r="80" spans="1:8" ht="13.5">
      <c r="A80" s="137"/>
      <c r="B80" s="137"/>
      <c r="C80" s="137"/>
      <c r="D80" s="137"/>
      <c r="E80" s="137"/>
      <c r="F80" s="137"/>
      <c r="G80" s="137"/>
      <c r="H80" s="137"/>
    </row>
    <row r="81" spans="1:8" ht="13.5">
      <c r="A81" s="137"/>
      <c r="B81" s="137"/>
      <c r="C81" s="137"/>
      <c r="D81" s="137"/>
      <c r="E81" s="137"/>
      <c r="F81" s="137"/>
      <c r="G81" s="137"/>
      <c r="H81" s="137"/>
    </row>
    <row r="82" spans="1:8" ht="13.5">
      <c r="A82" s="137"/>
      <c r="B82" s="137"/>
      <c r="C82" s="137"/>
      <c r="D82" s="137"/>
      <c r="E82" s="137"/>
      <c r="F82" s="137"/>
      <c r="G82" s="137"/>
      <c r="H82" s="137"/>
    </row>
    <row r="83" spans="1:8" ht="13.5">
      <c r="A83" s="137"/>
      <c r="B83" s="137"/>
      <c r="C83" s="137"/>
      <c r="D83" s="137"/>
      <c r="E83" s="137"/>
      <c r="F83" s="137"/>
      <c r="G83" s="137"/>
      <c r="H83" s="137"/>
    </row>
    <row r="84" spans="1:8" ht="13.5">
      <c r="A84" s="137"/>
      <c r="B84" s="137"/>
      <c r="C84" s="137"/>
      <c r="D84" s="137"/>
      <c r="E84" s="137"/>
      <c r="F84" s="137"/>
      <c r="G84" s="137"/>
      <c r="H84" s="137"/>
    </row>
    <row r="85" spans="1:8" ht="13.5">
      <c r="A85" s="137"/>
      <c r="B85" s="137"/>
      <c r="C85" s="137"/>
      <c r="D85" s="137"/>
      <c r="E85" s="137"/>
      <c r="F85" s="137"/>
      <c r="G85" s="137"/>
      <c r="H85" s="137"/>
    </row>
    <row r="86" spans="1:8" ht="13.5">
      <c r="A86" s="137"/>
      <c r="B86" s="137"/>
      <c r="C86" s="137"/>
      <c r="D86" s="137"/>
      <c r="E86" s="137"/>
      <c r="F86" s="137"/>
      <c r="G86" s="137"/>
      <c r="H86" s="137"/>
    </row>
    <row r="87" spans="1:8" ht="13.5">
      <c r="A87" s="137"/>
      <c r="B87" s="137"/>
      <c r="C87" s="137"/>
      <c r="D87" s="137"/>
      <c r="E87" s="137"/>
      <c r="F87" s="137"/>
      <c r="G87" s="137"/>
      <c r="H87" s="137"/>
    </row>
    <row r="88" spans="1:8" ht="13.5">
      <c r="A88" s="137"/>
      <c r="B88" s="137"/>
      <c r="C88" s="137"/>
      <c r="D88" s="137"/>
      <c r="E88" s="137"/>
      <c r="F88" s="137"/>
      <c r="G88" s="137"/>
      <c r="H88" s="137"/>
    </row>
    <row r="89" spans="1:8" ht="13.5">
      <c r="A89" s="137"/>
      <c r="B89" s="137"/>
      <c r="C89" s="137"/>
      <c r="D89" s="137"/>
      <c r="E89" s="137"/>
      <c r="F89" s="137"/>
      <c r="G89" s="137"/>
      <c r="H89" s="137"/>
    </row>
    <row r="90" spans="1:8" ht="13.5">
      <c r="A90" s="137"/>
      <c r="B90" s="137"/>
      <c r="C90" s="137"/>
      <c r="D90" s="137"/>
      <c r="E90" s="137"/>
      <c r="F90" s="137"/>
      <c r="G90" s="137"/>
      <c r="H90" s="137"/>
    </row>
    <row r="91" spans="1:8" ht="13.5">
      <c r="A91" s="137"/>
      <c r="B91" s="137"/>
      <c r="C91" s="137"/>
      <c r="D91" s="137"/>
      <c r="E91" s="137"/>
      <c r="F91" s="137"/>
      <c r="G91" s="137"/>
      <c r="H91" s="137"/>
    </row>
    <row r="92" spans="1:8" ht="13.5">
      <c r="A92" s="137"/>
      <c r="B92" s="137"/>
      <c r="C92" s="137"/>
      <c r="D92" s="137"/>
      <c r="E92" s="137"/>
      <c r="F92" s="137"/>
      <c r="G92" s="137"/>
      <c r="H92" s="137"/>
    </row>
    <row r="93" spans="1:8" ht="13.5">
      <c r="A93" s="137"/>
      <c r="B93" s="137"/>
      <c r="C93" s="137"/>
      <c r="D93" s="137"/>
      <c r="E93" s="137"/>
      <c r="F93" s="137"/>
      <c r="G93" s="137"/>
      <c r="H93" s="137"/>
    </row>
    <row r="94" spans="1:8" ht="13.5">
      <c r="A94" s="137"/>
      <c r="B94" s="137"/>
      <c r="C94" s="137"/>
      <c r="D94" s="137"/>
      <c r="E94" s="137"/>
      <c r="F94" s="137"/>
      <c r="G94" s="137"/>
      <c r="H94" s="137"/>
    </row>
    <row r="95" spans="1:8" ht="13.5">
      <c r="A95" s="137"/>
      <c r="B95" s="137"/>
      <c r="C95" s="137"/>
      <c r="D95" s="137"/>
      <c r="E95" s="137"/>
      <c r="F95" s="137"/>
      <c r="G95" s="137"/>
      <c r="H95" s="137"/>
    </row>
    <row r="96" spans="1:8" ht="13.5">
      <c r="A96" s="137"/>
      <c r="B96" s="137"/>
      <c r="C96" s="137"/>
      <c r="D96" s="137"/>
      <c r="E96" s="137"/>
      <c r="F96" s="137"/>
      <c r="G96" s="137"/>
      <c r="H96" s="137"/>
    </row>
    <row r="97" spans="1:8" ht="13.5">
      <c r="A97" s="137"/>
      <c r="B97" s="137"/>
      <c r="C97" s="137"/>
      <c r="D97" s="137"/>
      <c r="E97" s="137"/>
      <c r="F97" s="137"/>
      <c r="G97" s="137"/>
      <c r="H97" s="137"/>
    </row>
    <row r="98" spans="1:8" ht="13.5">
      <c r="A98" s="137"/>
      <c r="B98" s="137"/>
      <c r="C98" s="137"/>
      <c r="D98" s="137"/>
      <c r="E98" s="137"/>
      <c r="F98" s="137"/>
      <c r="G98" s="137"/>
      <c r="H98" s="137"/>
    </row>
    <row r="99" spans="1:8" ht="13.5">
      <c r="A99" s="137"/>
      <c r="B99" s="137"/>
      <c r="C99" s="137"/>
      <c r="D99" s="137"/>
      <c r="E99" s="137"/>
      <c r="F99" s="137"/>
      <c r="G99" s="137"/>
      <c r="H99" s="137"/>
    </row>
    <row r="100" spans="1:8" ht="13.5">
      <c r="A100" s="137"/>
      <c r="B100" s="137"/>
      <c r="C100" s="137"/>
      <c r="D100" s="137"/>
      <c r="E100" s="137"/>
      <c r="F100" s="137"/>
      <c r="G100" s="137"/>
      <c r="H100" s="137"/>
    </row>
    <row r="101" spans="1:8" ht="13.5">
      <c r="A101" s="137"/>
      <c r="B101" s="137"/>
      <c r="C101" s="137"/>
      <c r="D101" s="137"/>
      <c r="E101" s="137"/>
      <c r="F101" s="137"/>
      <c r="G101" s="137"/>
      <c r="H101" s="137"/>
    </row>
    <row r="102" spans="1:8" ht="13.5">
      <c r="A102" s="137"/>
      <c r="B102" s="137"/>
      <c r="C102" s="137"/>
      <c r="D102" s="137"/>
      <c r="E102" s="137"/>
      <c r="F102" s="137"/>
      <c r="G102" s="137"/>
      <c r="H102" s="137"/>
    </row>
    <row r="103" spans="1:8" ht="13.5">
      <c r="A103" s="137"/>
      <c r="B103" s="137"/>
      <c r="C103" s="137"/>
      <c r="D103" s="137"/>
      <c r="E103" s="137"/>
      <c r="F103" s="137"/>
      <c r="G103" s="137"/>
      <c r="H103" s="137"/>
    </row>
    <row r="104" spans="1:8" ht="13.5">
      <c r="A104" s="137"/>
      <c r="B104" s="137"/>
      <c r="C104" s="137"/>
      <c r="D104" s="137"/>
      <c r="E104" s="137"/>
      <c r="F104" s="137"/>
      <c r="G104" s="137"/>
      <c r="H104" s="137"/>
    </row>
    <row r="105" spans="1:8" ht="13.5">
      <c r="A105" s="137"/>
      <c r="B105" s="137"/>
      <c r="C105" s="137"/>
      <c r="D105" s="137"/>
      <c r="E105" s="137"/>
      <c r="F105" s="137"/>
      <c r="G105" s="137"/>
      <c r="H105" s="137"/>
    </row>
    <row r="106" spans="1:8" ht="13.5">
      <c r="A106" s="137"/>
      <c r="B106" s="137"/>
      <c r="C106" s="137"/>
      <c r="D106" s="137"/>
      <c r="E106" s="137"/>
      <c r="F106" s="137"/>
      <c r="G106" s="137"/>
      <c r="H106" s="137"/>
    </row>
    <row r="107" spans="1:8" ht="13.5">
      <c r="A107" s="137"/>
      <c r="B107" s="137"/>
      <c r="C107" s="137"/>
      <c r="D107" s="137"/>
      <c r="E107" s="137"/>
      <c r="F107" s="137"/>
      <c r="G107" s="137"/>
      <c r="H107" s="137"/>
    </row>
    <row r="108" spans="1:8" ht="13.5">
      <c r="A108" s="137"/>
      <c r="B108" s="137"/>
      <c r="C108" s="137"/>
      <c r="D108" s="137"/>
      <c r="E108" s="137"/>
      <c r="F108" s="137"/>
      <c r="G108" s="137"/>
      <c r="H108" s="137"/>
    </row>
    <row r="109" spans="1:8" ht="13.5">
      <c r="A109" s="137"/>
      <c r="B109" s="137"/>
      <c r="C109" s="137"/>
      <c r="D109" s="137"/>
      <c r="E109" s="137"/>
      <c r="F109" s="137"/>
      <c r="G109" s="137"/>
      <c r="H109" s="137"/>
    </row>
    <row r="110" spans="1:8" ht="13.5">
      <c r="A110" s="137"/>
      <c r="B110" s="137"/>
      <c r="C110" s="137"/>
      <c r="D110" s="137"/>
      <c r="E110" s="137"/>
      <c r="F110" s="137"/>
      <c r="G110" s="137"/>
      <c r="H110" s="137"/>
    </row>
    <row r="111" spans="1:8" ht="13.5">
      <c r="A111" s="137"/>
      <c r="B111" s="137"/>
      <c r="C111" s="137"/>
      <c r="D111" s="137"/>
      <c r="E111" s="137"/>
      <c r="F111" s="137"/>
      <c r="G111" s="137"/>
      <c r="H111" s="137"/>
    </row>
    <row r="112" spans="1:8" ht="13.5">
      <c r="A112" s="137"/>
      <c r="B112" s="137"/>
      <c r="C112" s="137"/>
      <c r="D112" s="137"/>
      <c r="E112" s="137"/>
      <c r="F112" s="137"/>
      <c r="G112" s="137"/>
      <c r="H112" s="137"/>
    </row>
    <row r="113" spans="1:8" ht="13.5">
      <c r="A113" s="137"/>
      <c r="B113" s="137"/>
      <c r="C113" s="137"/>
      <c r="D113" s="137"/>
      <c r="E113" s="137"/>
      <c r="F113" s="137"/>
      <c r="G113" s="137"/>
      <c r="H113" s="137"/>
    </row>
    <row r="114" spans="1:8" ht="13.5">
      <c r="A114" s="137"/>
      <c r="B114" s="137"/>
      <c r="C114" s="137"/>
      <c r="D114" s="137"/>
      <c r="E114" s="137"/>
      <c r="F114" s="137"/>
      <c r="G114" s="137"/>
      <c r="H114" s="137"/>
    </row>
    <row r="115" spans="1:8" ht="13.5">
      <c r="A115" s="137"/>
      <c r="B115" s="137"/>
      <c r="C115" s="137"/>
      <c r="D115" s="137"/>
      <c r="E115" s="137"/>
      <c r="F115" s="137"/>
      <c r="G115" s="137"/>
      <c r="H115" s="137"/>
    </row>
    <row r="116" spans="1:8" ht="13.5">
      <c r="A116" s="137"/>
      <c r="B116" s="137"/>
      <c r="C116" s="137"/>
      <c r="D116" s="137"/>
      <c r="E116" s="137"/>
      <c r="F116" s="137"/>
      <c r="G116" s="137"/>
      <c r="H116" s="137"/>
    </row>
    <row r="117" spans="1:8" ht="13.5">
      <c r="A117" s="137"/>
      <c r="B117" s="137"/>
      <c r="C117" s="137"/>
      <c r="D117" s="137"/>
      <c r="E117" s="137"/>
      <c r="F117" s="137"/>
      <c r="G117" s="137"/>
      <c r="H117" s="137"/>
    </row>
    <row r="118" spans="1:8" ht="13.5">
      <c r="A118" s="137"/>
      <c r="B118" s="137"/>
      <c r="C118" s="137"/>
      <c r="D118" s="137"/>
      <c r="E118" s="137"/>
      <c r="F118" s="137"/>
      <c r="G118" s="137"/>
      <c r="H118" s="137"/>
    </row>
    <row r="119" spans="1:8" ht="13.5">
      <c r="A119" s="137"/>
      <c r="B119" s="137"/>
      <c r="C119" s="137"/>
      <c r="D119" s="137"/>
      <c r="E119" s="137"/>
      <c r="F119" s="137"/>
      <c r="G119" s="137"/>
      <c r="H119" s="137"/>
    </row>
    <row r="120" spans="1:8" ht="13.5">
      <c r="A120" s="137"/>
      <c r="B120" s="137"/>
      <c r="C120" s="137"/>
      <c r="D120" s="137"/>
      <c r="E120" s="137"/>
      <c r="F120" s="137"/>
      <c r="G120" s="137"/>
      <c r="H120" s="137"/>
    </row>
    <row r="121" spans="1:8" ht="13.5">
      <c r="A121" s="137"/>
      <c r="B121" s="137"/>
      <c r="C121" s="137"/>
      <c r="D121" s="137"/>
      <c r="E121" s="137"/>
      <c r="F121" s="137"/>
      <c r="G121" s="137"/>
      <c r="H121" s="137"/>
    </row>
    <row r="122" spans="1:8" ht="13.5">
      <c r="A122" s="137"/>
      <c r="B122" s="137"/>
      <c r="C122" s="137"/>
      <c r="D122" s="137"/>
      <c r="E122" s="137"/>
      <c r="F122" s="137"/>
      <c r="G122" s="137"/>
      <c r="H122" s="137"/>
    </row>
    <row r="123" spans="1:8" ht="13.5">
      <c r="A123" s="137"/>
      <c r="B123" s="137"/>
      <c r="C123" s="137"/>
      <c r="D123" s="137"/>
      <c r="E123" s="137"/>
      <c r="F123" s="137"/>
      <c r="G123" s="137"/>
      <c r="H123" s="137"/>
    </row>
    <row r="124" spans="1:8" ht="13.5">
      <c r="A124" s="137"/>
      <c r="B124" s="137"/>
      <c r="C124" s="137"/>
      <c r="D124" s="137"/>
      <c r="E124" s="137"/>
      <c r="F124" s="137"/>
      <c r="G124" s="137"/>
      <c r="H124" s="137"/>
    </row>
    <row r="125" spans="1:8" ht="13.5">
      <c r="A125" s="137"/>
      <c r="B125" s="137"/>
      <c r="C125" s="137"/>
      <c r="D125" s="137"/>
      <c r="E125" s="137"/>
      <c r="F125" s="137"/>
      <c r="G125" s="137"/>
      <c r="H125" s="137"/>
    </row>
    <row r="126" spans="1:8" ht="13.5">
      <c r="A126" s="137"/>
      <c r="B126" s="137"/>
      <c r="C126" s="137"/>
      <c r="D126" s="137"/>
      <c r="E126" s="137"/>
      <c r="F126" s="137"/>
      <c r="G126" s="137"/>
      <c r="H126" s="137"/>
    </row>
    <row r="127" spans="1:8" ht="13.5">
      <c r="A127" s="137"/>
      <c r="B127" s="137"/>
      <c r="C127" s="137"/>
      <c r="D127" s="137"/>
      <c r="E127" s="137"/>
      <c r="F127" s="137"/>
      <c r="G127" s="137"/>
      <c r="H127" s="137"/>
    </row>
    <row r="128" spans="1:8" ht="13.5">
      <c r="A128" s="137"/>
      <c r="B128" s="137"/>
      <c r="C128" s="137"/>
      <c r="D128" s="137"/>
      <c r="E128" s="137"/>
      <c r="F128" s="137"/>
      <c r="G128" s="137"/>
      <c r="H128" s="137"/>
    </row>
    <row r="129" spans="1:8" ht="13.5">
      <c r="A129" s="137"/>
      <c r="B129" s="137"/>
      <c r="C129" s="137"/>
      <c r="D129" s="137"/>
      <c r="E129" s="137"/>
      <c r="F129" s="137"/>
      <c r="G129" s="137"/>
      <c r="H129" s="137"/>
    </row>
    <row r="130" spans="1:8" ht="13.5">
      <c r="A130" s="137"/>
      <c r="B130" s="137"/>
      <c r="C130" s="137"/>
      <c r="D130" s="137"/>
      <c r="E130" s="137"/>
      <c r="F130" s="137"/>
      <c r="G130" s="137"/>
      <c r="H130" s="137"/>
    </row>
    <row r="131" spans="1:8" ht="13.5">
      <c r="A131" s="137"/>
      <c r="B131" s="137"/>
      <c r="C131" s="137"/>
      <c r="D131" s="137"/>
      <c r="E131" s="137"/>
      <c r="F131" s="137"/>
      <c r="G131" s="137"/>
      <c r="H131" s="137"/>
    </row>
    <row r="132" spans="1:8" ht="13.5">
      <c r="A132" s="137"/>
      <c r="B132" s="137"/>
      <c r="C132" s="137"/>
      <c r="D132" s="137"/>
      <c r="E132" s="137"/>
      <c r="F132" s="137"/>
      <c r="G132" s="137"/>
      <c r="H132" s="137"/>
    </row>
    <row r="133" spans="1:8" ht="13.5">
      <c r="A133" s="137"/>
      <c r="B133" s="137"/>
      <c r="C133" s="137"/>
      <c r="D133" s="137"/>
      <c r="E133" s="137"/>
      <c r="F133" s="137"/>
      <c r="G133" s="137"/>
      <c r="H133" s="137"/>
    </row>
    <row r="134" spans="1:8" ht="13.5">
      <c r="A134" s="137"/>
      <c r="B134" s="137"/>
      <c r="C134" s="137"/>
      <c r="D134" s="137"/>
      <c r="E134" s="137"/>
      <c r="F134" s="137"/>
      <c r="G134" s="137"/>
      <c r="H134" s="137"/>
    </row>
    <row r="135" spans="1:8" ht="13.5">
      <c r="A135" s="137"/>
      <c r="B135" s="137"/>
      <c r="C135" s="137"/>
      <c r="D135" s="137"/>
      <c r="E135" s="137"/>
      <c r="F135" s="137"/>
      <c r="G135" s="137"/>
      <c r="H135" s="137"/>
    </row>
    <row r="136" spans="1:8" ht="13.5">
      <c r="A136" s="137"/>
      <c r="B136" s="137"/>
      <c r="C136" s="137"/>
      <c r="D136" s="137"/>
      <c r="E136" s="137"/>
      <c r="F136" s="137"/>
      <c r="G136" s="137"/>
      <c r="H136" s="137"/>
    </row>
    <row r="137" spans="1:8" ht="13.5">
      <c r="A137" s="137"/>
      <c r="B137" s="137"/>
      <c r="C137" s="137"/>
      <c r="D137" s="137"/>
      <c r="E137" s="137"/>
      <c r="F137" s="137"/>
      <c r="G137" s="137"/>
      <c r="H137" s="137"/>
    </row>
    <row r="138" spans="1:8" ht="13.5">
      <c r="A138" s="137"/>
      <c r="B138" s="137"/>
      <c r="C138" s="137"/>
      <c r="D138" s="137"/>
      <c r="E138" s="137"/>
      <c r="F138" s="137"/>
      <c r="G138" s="137"/>
      <c r="H138" s="137"/>
    </row>
    <row r="139" spans="1:8" ht="13.5">
      <c r="A139" s="137"/>
      <c r="B139" s="137"/>
      <c r="C139" s="137"/>
      <c r="D139" s="137"/>
      <c r="E139" s="137"/>
      <c r="F139" s="137"/>
      <c r="G139" s="137"/>
      <c r="H139" s="137"/>
    </row>
    <row r="140" spans="1:8" ht="13.5">
      <c r="A140" s="137"/>
      <c r="B140" s="137"/>
      <c r="C140" s="137"/>
      <c r="D140" s="137"/>
      <c r="E140" s="137"/>
      <c r="F140" s="137"/>
      <c r="G140" s="137"/>
      <c r="H140" s="137"/>
    </row>
    <row r="141" spans="1:8" ht="13.5">
      <c r="A141" s="137"/>
      <c r="B141" s="137"/>
      <c r="C141" s="137"/>
      <c r="D141" s="137"/>
      <c r="E141" s="137"/>
      <c r="F141" s="137"/>
      <c r="G141" s="137"/>
      <c r="H141" s="137"/>
    </row>
    <row r="142" spans="1:8" ht="13.5">
      <c r="A142" s="137"/>
      <c r="B142" s="137"/>
      <c r="C142" s="137"/>
      <c r="D142" s="137"/>
      <c r="E142" s="137"/>
      <c r="F142" s="137"/>
      <c r="G142" s="137"/>
      <c r="H142" s="137"/>
    </row>
    <row r="143" spans="1:8" ht="13.5">
      <c r="A143" s="137"/>
      <c r="B143" s="137"/>
      <c r="C143" s="137"/>
      <c r="D143" s="137"/>
      <c r="E143" s="137"/>
      <c r="F143" s="137"/>
      <c r="G143" s="137"/>
      <c r="H143" s="137"/>
    </row>
    <row r="144" spans="1:8" ht="13.5">
      <c r="A144" s="137"/>
      <c r="B144" s="137"/>
      <c r="C144" s="137"/>
      <c r="D144" s="137"/>
      <c r="E144" s="137"/>
      <c r="F144" s="137"/>
      <c r="G144" s="137"/>
      <c r="H144" s="137"/>
    </row>
    <row r="145" spans="1:8" ht="13.5">
      <c r="A145" s="137"/>
      <c r="B145" s="137"/>
      <c r="C145" s="137"/>
      <c r="D145" s="137"/>
      <c r="E145" s="137"/>
      <c r="F145" s="137"/>
      <c r="G145" s="137"/>
      <c r="H145" s="137"/>
    </row>
    <row r="146" spans="1:8" ht="13.5">
      <c r="A146" s="137"/>
      <c r="B146" s="137"/>
      <c r="C146" s="137"/>
      <c r="D146" s="137"/>
      <c r="E146" s="137"/>
      <c r="F146" s="137"/>
      <c r="G146" s="137"/>
      <c r="H146" s="137"/>
    </row>
    <row r="147" spans="1:8" ht="13.5">
      <c r="A147" s="137"/>
      <c r="B147" s="137"/>
      <c r="C147" s="137"/>
      <c r="D147" s="137"/>
      <c r="E147" s="137"/>
      <c r="F147" s="137"/>
      <c r="G147" s="137"/>
      <c r="H147" s="137"/>
    </row>
    <row r="148" spans="1:8" ht="13.5">
      <c r="A148" s="137"/>
      <c r="B148" s="137"/>
      <c r="C148" s="137"/>
      <c r="D148" s="137"/>
      <c r="E148" s="137"/>
      <c r="F148" s="137"/>
      <c r="G148" s="137"/>
      <c r="H148" s="137"/>
    </row>
    <row r="149" spans="1:8" ht="13.5">
      <c r="A149" s="137"/>
      <c r="B149" s="137"/>
      <c r="C149" s="137"/>
      <c r="D149" s="137"/>
      <c r="E149" s="137"/>
      <c r="F149" s="137"/>
      <c r="G149" s="137"/>
      <c r="H149" s="137"/>
    </row>
    <row r="150" spans="1:8" ht="13.5">
      <c r="A150" s="137"/>
      <c r="B150" s="137"/>
      <c r="C150" s="137"/>
      <c r="D150" s="137"/>
      <c r="E150" s="137"/>
      <c r="F150" s="137"/>
      <c r="G150" s="137"/>
      <c r="H150" s="137"/>
    </row>
    <row r="151" spans="1:8" ht="13.5">
      <c r="A151" s="137"/>
      <c r="B151" s="137"/>
      <c r="C151" s="137"/>
      <c r="D151" s="137"/>
      <c r="E151" s="137"/>
      <c r="F151" s="137"/>
      <c r="G151" s="137"/>
      <c r="H151" s="137"/>
    </row>
    <row r="152" spans="1:8" ht="13.5">
      <c r="A152" s="137"/>
      <c r="B152" s="137"/>
      <c r="C152" s="137"/>
      <c r="D152" s="137"/>
      <c r="E152" s="137"/>
      <c r="F152" s="137"/>
      <c r="G152" s="137"/>
      <c r="H152" s="137"/>
    </row>
    <row r="153" spans="1:8" ht="13.5">
      <c r="A153" s="137"/>
      <c r="B153" s="137"/>
      <c r="C153" s="137"/>
      <c r="D153" s="137"/>
      <c r="E153" s="137"/>
      <c r="F153" s="137"/>
      <c r="G153" s="137"/>
      <c r="H153" s="137"/>
    </row>
    <row r="154" spans="1:8" ht="13.5">
      <c r="A154" s="137"/>
      <c r="B154" s="137"/>
      <c r="C154" s="137"/>
      <c r="D154" s="137"/>
      <c r="E154" s="137"/>
      <c r="F154" s="137"/>
      <c r="G154" s="137"/>
      <c r="H154" s="137"/>
    </row>
    <row r="155" spans="1:8" ht="13.5">
      <c r="A155" s="137"/>
      <c r="B155" s="137"/>
      <c r="C155" s="137"/>
      <c r="D155" s="137"/>
      <c r="E155" s="137"/>
      <c r="F155" s="137"/>
      <c r="G155" s="137"/>
      <c r="H155" s="137"/>
    </row>
    <row r="156" spans="1:8" ht="13.5">
      <c r="A156" s="137"/>
      <c r="B156" s="137"/>
      <c r="C156" s="137"/>
      <c r="D156" s="137"/>
      <c r="E156" s="137"/>
      <c r="F156" s="137"/>
      <c r="G156" s="137"/>
      <c r="H156" s="137"/>
    </row>
    <row r="157" spans="1:8" ht="13.5">
      <c r="A157" s="137"/>
      <c r="B157" s="137"/>
      <c r="C157" s="137"/>
      <c r="D157" s="137"/>
      <c r="E157" s="137"/>
      <c r="F157" s="137"/>
      <c r="G157" s="137"/>
      <c r="H157" s="137"/>
    </row>
    <row r="158" spans="1:8" ht="13.5">
      <c r="A158" s="137"/>
      <c r="B158" s="137"/>
      <c r="C158" s="137"/>
      <c r="D158" s="137"/>
      <c r="E158" s="137"/>
      <c r="F158" s="137"/>
      <c r="G158" s="137"/>
      <c r="H158" s="137"/>
    </row>
    <row r="159" spans="1:8" ht="13.5">
      <c r="A159" s="137"/>
      <c r="B159" s="137"/>
      <c r="C159" s="137"/>
      <c r="D159" s="137"/>
      <c r="E159" s="137"/>
      <c r="F159" s="137"/>
      <c r="G159" s="137"/>
      <c r="H159" s="137"/>
    </row>
    <row r="160" spans="1:8" ht="13.5">
      <c r="A160" s="137"/>
      <c r="B160" s="137"/>
      <c r="C160" s="137"/>
      <c r="D160" s="137"/>
      <c r="E160" s="137"/>
      <c r="F160" s="137"/>
      <c r="G160" s="137"/>
      <c r="H160" s="137"/>
    </row>
    <row r="161" spans="1:8" ht="13.5">
      <c r="A161" s="137"/>
      <c r="B161" s="137"/>
      <c r="C161" s="137"/>
      <c r="D161" s="137"/>
      <c r="E161" s="137"/>
      <c r="F161" s="137"/>
      <c r="G161" s="137"/>
      <c r="H161" s="137"/>
    </row>
    <row r="162" spans="1:8" ht="13.5">
      <c r="A162" s="137"/>
      <c r="B162" s="137"/>
      <c r="C162" s="137"/>
      <c r="D162" s="137"/>
      <c r="E162" s="137"/>
      <c r="F162" s="137"/>
      <c r="G162" s="137"/>
      <c r="H162" s="137"/>
    </row>
    <row r="163" spans="1:8" ht="13.5">
      <c r="A163" s="137"/>
      <c r="B163" s="137"/>
      <c r="C163" s="137"/>
      <c r="D163" s="137"/>
      <c r="E163" s="137"/>
      <c r="F163" s="137"/>
      <c r="G163" s="137"/>
      <c r="H163" s="137"/>
    </row>
    <row r="164" spans="1:8" ht="13.5">
      <c r="A164" s="137"/>
      <c r="B164" s="137"/>
      <c r="C164" s="137"/>
      <c r="D164" s="137"/>
      <c r="E164" s="137"/>
      <c r="F164" s="137"/>
      <c r="G164" s="137"/>
      <c r="H164" s="137"/>
    </row>
    <row r="165" spans="1:8" ht="13.5">
      <c r="A165" s="137"/>
      <c r="B165" s="137"/>
      <c r="C165" s="137"/>
      <c r="D165" s="137"/>
      <c r="E165" s="137"/>
      <c r="F165" s="137"/>
      <c r="G165" s="137"/>
      <c r="H165" s="137"/>
    </row>
    <row r="166" spans="1:8" ht="13.5">
      <c r="A166" s="137"/>
      <c r="B166" s="137"/>
      <c r="C166" s="137"/>
      <c r="D166" s="137"/>
      <c r="E166" s="137"/>
      <c r="F166" s="137"/>
      <c r="G166" s="137"/>
      <c r="H166" s="137"/>
    </row>
    <row r="167" spans="1:8" ht="13.5">
      <c r="A167" s="137"/>
      <c r="B167" s="137"/>
      <c r="C167" s="137"/>
      <c r="D167" s="137"/>
      <c r="E167" s="137"/>
      <c r="F167" s="137"/>
      <c r="G167" s="137"/>
      <c r="H167" s="137"/>
    </row>
    <row r="168" spans="1:8" ht="13.5">
      <c r="A168" s="137"/>
      <c r="B168" s="137"/>
      <c r="C168" s="137"/>
      <c r="D168" s="137"/>
      <c r="E168" s="137"/>
      <c r="F168" s="137"/>
      <c r="G168" s="137"/>
      <c r="H168" s="137"/>
    </row>
    <row r="169" spans="1:8" ht="13.5">
      <c r="A169" s="137"/>
      <c r="B169" s="137"/>
      <c r="C169" s="137"/>
      <c r="D169" s="137"/>
      <c r="E169" s="137"/>
      <c r="F169" s="137"/>
      <c r="G169" s="137"/>
      <c r="H169" s="137"/>
    </row>
    <row r="170" spans="1:8" ht="13.5">
      <c r="A170" s="137"/>
      <c r="B170" s="137"/>
      <c r="C170" s="137"/>
      <c r="D170" s="137"/>
      <c r="E170" s="137"/>
      <c r="F170" s="137"/>
      <c r="G170" s="137"/>
      <c r="H170" s="137"/>
    </row>
    <row r="171" spans="1:8" ht="13.5">
      <c r="A171" s="137"/>
      <c r="B171" s="137"/>
      <c r="C171" s="137"/>
      <c r="D171" s="137"/>
      <c r="E171" s="137"/>
      <c r="F171" s="137"/>
      <c r="G171" s="137"/>
      <c r="H171" s="137"/>
    </row>
    <row r="172" spans="1:8" ht="13.5">
      <c r="A172" s="137"/>
      <c r="B172" s="137"/>
      <c r="C172" s="137"/>
      <c r="D172" s="137"/>
      <c r="E172" s="137"/>
      <c r="F172" s="137"/>
      <c r="G172" s="137"/>
      <c r="H172" s="137"/>
    </row>
    <row r="173" spans="1:8" ht="13.5">
      <c r="A173" s="137"/>
      <c r="B173" s="137"/>
      <c r="C173" s="137"/>
      <c r="D173" s="137"/>
      <c r="E173" s="137"/>
      <c r="F173" s="137"/>
      <c r="G173" s="137"/>
      <c r="H173" s="137"/>
    </row>
    <row r="174" spans="1:8" ht="13.5">
      <c r="A174" s="137"/>
      <c r="B174" s="137"/>
      <c r="C174" s="137"/>
      <c r="D174" s="137"/>
      <c r="E174" s="137"/>
      <c r="F174" s="137"/>
      <c r="G174" s="137"/>
      <c r="H174" s="137"/>
    </row>
    <row r="175" spans="1:8" ht="13.5">
      <c r="A175" s="137"/>
      <c r="B175" s="137"/>
      <c r="C175" s="137"/>
      <c r="D175" s="137"/>
      <c r="E175" s="137"/>
      <c r="F175" s="137"/>
      <c r="G175" s="137"/>
      <c r="H175" s="137"/>
    </row>
    <row r="176" spans="1:8" ht="13.5">
      <c r="A176" s="137"/>
      <c r="B176" s="137"/>
      <c r="C176" s="137"/>
      <c r="D176" s="137"/>
      <c r="E176" s="137"/>
      <c r="F176" s="137"/>
      <c r="G176" s="137"/>
      <c r="H176" s="137"/>
    </row>
    <row r="177" spans="1:8" ht="13.5">
      <c r="A177" s="137"/>
      <c r="B177" s="137"/>
      <c r="C177" s="137"/>
      <c r="D177" s="137"/>
      <c r="E177" s="137"/>
      <c r="F177" s="137"/>
      <c r="G177" s="137"/>
      <c r="H177" s="137"/>
    </row>
    <row r="178" spans="1:8" ht="13.5">
      <c r="A178" s="137"/>
      <c r="B178" s="137"/>
      <c r="C178" s="137"/>
      <c r="D178" s="137"/>
      <c r="E178" s="137"/>
      <c r="F178" s="137"/>
      <c r="G178" s="137"/>
      <c r="H178" s="137"/>
    </row>
    <row r="179" spans="1:8" ht="13.5">
      <c r="A179" s="137"/>
      <c r="B179" s="137"/>
      <c r="C179" s="137"/>
      <c r="D179" s="137"/>
      <c r="E179" s="137"/>
      <c r="F179" s="137"/>
      <c r="G179" s="137"/>
      <c r="H179" s="137"/>
    </row>
    <row r="180" spans="1:8" ht="13.5">
      <c r="A180" s="137"/>
      <c r="B180" s="137"/>
      <c r="C180" s="137"/>
      <c r="D180" s="137"/>
      <c r="E180" s="137"/>
      <c r="F180" s="137"/>
      <c r="G180" s="137"/>
      <c r="H180" s="137"/>
    </row>
    <row r="181" spans="1:8" ht="13.5">
      <c r="A181" s="137"/>
      <c r="B181" s="137"/>
      <c r="C181" s="137"/>
      <c r="D181" s="137"/>
      <c r="E181" s="137"/>
      <c r="F181" s="137"/>
      <c r="G181" s="137"/>
      <c r="H181" s="137"/>
    </row>
    <row r="182" spans="1:8" ht="13.5">
      <c r="A182" s="137"/>
      <c r="B182" s="137"/>
      <c r="C182" s="137"/>
      <c r="D182" s="137"/>
      <c r="E182" s="137"/>
      <c r="F182" s="137"/>
      <c r="G182" s="137"/>
      <c r="H182" s="137"/>
    </row>
    <row r="183" spans="1:8" ht="13.5">
      <c r="A183" s="137"/>
      <c r="B183" s="137"/>
      <c r="C183" s="137"/>
      <c r="D183" s="137"/>
      <c r="E183" s="137"/>
      <c r="F183" s="137"/>
      <c r="G183" s="137"/>
      <c r="H183" s="137"/>
    </row>
    <row r="184" spans="1:8" ht="13.5">
      <c r="A184" s="137"/>
      <c r="B184" s="137"/>
      <c r="C184" s="137"/>
      <c r="D184" s="137"/>
      <c r="E184" s="137"/>
      <c r="F184" s="137"/>
      <c r="G184" s="137"/>
      <c r="H184" s="137"/>
    </row>
    <row r="185" spans="1:8" ht="13.5">
      <c r="A185" s="137"/>
      <c r="B185" s="137"/>
      <c r="C185" s="137"/>
      <c r="D185" s="137"/>
      <c r="E185" s="137"/>
      <c r="F185" s="137"/>
      <c r="G185" s="137"/>
      <c r="H185" s="137"/>
    </row>
    <row r="186" spans="1:8" ht="13.5">
      <c r="A186" s="137"/>
      <c r="B186" s="137"/>
      <c r="C186" s="137"/>
      <c r="D186" s="137"/>
      <c r="E186" s="137"/>
      <c r="F186" s="137"/>
      <c r="G186" s="137"/>
      <c r="H186" s="137"/>
    </row>
    <row r="187" spans="1:8" ht="13.5">
      <c r="A187" s="137"/>
      <c r="B187" s="137"/>
      <c r="C187" s="137"/>
      <c r="D187" s="137"/>
      <c r="E187" s="137"/>
      <c r="F187" s="137"/>
      <c r="G187" s="137"/>
      <c r="H187" s="137"/>
    </row>
    <row r="188" spans="1:8" ht="13.5">
      <c r="A188" s="137"/>
      <c r="B188" s="137"/>
      <c r="C188" s="137"/>
      <c r="D188" s="137"/>
      <c r="E188" s="137"/>
      <c r="F188" s="137"/>
      <c r="G188" s="137"/>
      <c r="H188" s="137"/>
    </row>
    <row r="189" spans="1:8" ht="13.5">
      <c r="A189" s="137"/>
      <c r="B189" s="137"/>
      <c r="C189" s="137"/>
      <c r="D189" s="137"/>
      <c r="E189" s="137"/>
      <c r="F189" s="137"/>
      <c r="G189" s="137"/>
      <c r="H189" s="137"/>
    </row>
    <row r="190" spans="1:8" ht="13.5">
      <c r="A190" s="137"/>
      <c r="B190" s="137"/>
      <c r="C190" s="137"/>
      <c r="D190" s="137"/>
      <c r="E190" s="137"/>
      <c r="F190" s="137"/>
      <c r="G190" s="137"/>
      <c r="H190" s="137"/>
    </row>
    <row r="191" spans="1:8" ht="13.5">
      <c r="A191" s="137"/>
      <c r="B191" s="137"/>
      <c r="C191" s="137"/>
      <c r="D191" s="137"/>
      <c r="E191" s="137"/>
      <c r="F191" s="137"/>
      <c r="G191" s="137"/>
      <c r="H191" s="137"/>
    </row>
    <row r="192" spans="1:8" ht="13.5">
      <c r="A192" s="137"/>
      <c r="B192" s="137"/>
      <c r="C192" s="137"/>
      <c r="D192" s="137"/>
      <c r="E192" s="137"/>
      <c r="F192" s="137"/>
      <c r="G192" s="137"/>
      <c r="H192" s="137"/>
    </row>
    <row r="193" spans="1:8" ht="13.5">
      <c r="A193" s="137"/>
      <c r="B193" s="137"/>
      <c r="C193" s="137"/>
      <c r="D193" s="137"/>
      <c r="E193" s="137"/>
      <c r="F193" s="137"/>
      <c r="G193" s="137"/>
      <c r="H193" s="137"/>
    </row>
    <row r="194" spans="1:8" ht="13.5">
      <c r="A194" s="137"/>
      <c r="B194" s="137"/>
      <c r="C194" s="137"/>
      <c r="D194" s="137"/>
      <c r="E194" s="137"/>
      <c r="F194" s="137"/>
      <c r="G194" s="137"/>
      <c r="H194" s="137"/>
    </row>
    <row r="195" spans="1:8" ht="13.5">
      <c r="A195" s="137"/>
      <c r="B195" s="137"/>
      <c r="C195" s="137"/>
      <c r="D195" s="137"/>
      <c r="E195" s="137"/>
      <c r="F195" s="137"/>
      <c r="G195" s="137"/>
      <c r="H195" s="137"/>
    </row>
    <row r="196" spans="1:8" ht="13.5">
      <c r="A196" s="137"/>
      <c r="B196" s="137"/>
      <c r="C196" s="137"/>
      <c r="D196" s="137"/>
      <c r="E196" s="137"/>
      <c r="F196" s="137"/>
      <c r="G196" s="137"/>
      <c r="H196" s="137"/>
    </row>
    <row r="197" spans="1:8" ht="13.5">
      <c r="A197" s="137"/>
      <c r="B197" s="137"/>
      <c r="C197" s="137"/>
      <c r="D197" s="137"/>
      <c r="E197" s="137"/>
      <c r="F197" s="137"/>
      <c r="G197" s="137"/>
      <c r="H197" s="137"/>
    </row>
    <row r="198" spans="1:8" ht="13.5">
      <c r="A198" s="137"/>
      <c r="B198" s="137"/>
      <c r="C198" s="137"/>
      <c r="D198" s="137"/>
      <c r="E198" s="137"/>
      <c r="F198" s="137"/>
      <c r="G198" s="137"/>
      <c r="H198" s="137"/>
    </row>
    <row r="199" spans="1:8" ht="13.5">
      <c r="A199" s="137"/>
      <c r="B199" s="137"/>
      <c r="C199" s="137"/>
      <c r="D199" s="137"/>
      <c r="E199" s="137"/>
      <c r="F199" s="137"/>
      <c r="G199" s="137"/>
      <c r="H199" s="137"/>
    </row>
    <row r="200" spans="1:8" ht="13.5">
      <c r="A200" s="137"/>
      <c r="B200" s="137"/>
      <c r="C200" s="137"/>
      <c r="D200" s="137"/>
      <c r="E200" s="137"/>
      <c r="F200" s="137"/>
      <c r="G200" s="137"/>
      <c r="H200" s="137"/>
    </row>
    <row r="201" spans="1:8" ht="13.5">
      <c r="A201" s="137"/>
      <c r="B201" s="137"/>
      <c r="C201" s="137"/>
      <c r="D201" s="137"/>
      <c r="E201" s="137"/>
      <c r="F201" s="137"/>
      <c r="G201" s="137"/>
      <c r="H201" s="137"/>
    </row>
    <row r="202" spans="1:8" ht="13.5">
      <c r="A202" s="137"/>
      <c r="B202" s="137"/>
      <c r="C202" s="137"/>
      <c r="D202" s="137"/>
      <c r="E202" s="137"/>
      <c r="F202" s="137"/>
      <c r="G202" s="137"/>
      <c r="H202" s="137"/>
    </row>
    <row r="203" spans="1:8" ht="13.5">
      <c r="A203" s="137"/>
      <c r="B203" s="137"/>
      <c r="C203" s="137"/>
      <c r="D203" s="137"/>
      <c r="E203" s="137"/>
      <c r="F203" s="137"/>
      <c r="G203" s="137"/>
      <c r="H203" s="137"/>
    </row>
    <row r="204" spans="1:8" ht="13.5">
      <c r="A204" s="137"/>
      <c r="B204" s="137"/>
      <c r="C204" s="137"/>
      <c r="D204" s="137"/>
      <c r="E204" s="137"/>
      <c r="F204" s="137"/>
      <c r="G204" s="137"/>
      <c r="H204" s="137"/>
    </row>
    <row r="205" spans="1:8" ht="13.5">
      <c r="A205" s="137"/>
      <c r="B205" s="137"/>
      <c r="C205" s="137"/>
      <c r="D205" s="137"/>
      <c r="E205" s="137"/>
      <c r="F205" s="137"/>
      <c r="G205" s="137"/>
      <c r="H205" s="137"/>
    </row>
    <row r="206" spans="1:8" ht="13.5">
      <c r="A206" s="137"/>
      <c r="B206" s="137"/>
      <c r="C206" s="137"/>
      <c r="D206" s="137"/>
      <c r="E206" s="137"/>
      <c r="F206" s="137"/>
      <c r="G206" s="137"/>
      <c r="H206" s="137"/>
    </row>
    <row r="207" spans="1:8" ht="13.5">
      <c r="A207" s="137"/>
      <c r="B207" s="137"/>
      <c r="C207" s="137"/>
      <c r="D207" s="137"/>
      <c r="E207" s="137"/>
      <c r="F207" s="137"/>
      <c r="G207" s="137"/>
      <c r="H207" s="137"/>
    </row>
    <row r="208" spans="1:8" ht="13.5">
      <c r="A208" s="137"/>
      <c r="B208" s="137"/>
      <c r="C208" s="137"/>
      <c r="D208" s="137"/>
      <c r="E208" s="137"/>
      <c r="F208" s="137"/>
      <c r="G208" s="137"/>
      <c r="H208" s="137"/>
    </row>
    <row r="209" spans="1:8" ht="13.5">
      <c r="A209" s="137"/>
      <c r="B209" s="137"/>
      <c r="C209" s="137"/>
      <c r="D209" s="137"/>
      <c r="E209" s="137"/>
      <c r="F209" s="137"/>
      <c r="G209" s="137"/>
      <c r="H209" s="137"/>
    </row>
    <row r="210" spans="1:8" ht="13.5">
      <c r="A210" s="137"/>
      <c r="B210" s="137"/>
      <c r="C210" s="137"/>
      <c r="D210" s="137"/>
      <c r="E210" s="137"/>
      <c r="F210" s="137"/>
      <c r="G210" s="137"/>
      <c r="H210" s="137"/>
    </row>
    <row r="211" spans="1:8" ht="13.5">
      <c r="A211" s="137"/>
      <c r="B211" s="137"/>
      <c r="C211" s="137"/>
      <c r="D211" s="137"/>
      <c r="E211" s="137"/>
      <c r="F211" s="137"/>
      <c r="G211" s="137"/>
      <c r="H211" s="137"/>
    </row>
    <row r="212" spans="1:8" ht="13.5">
      <c r="A212" s="137"/>
      <c r="B212" s="137"/>
      <c r="C212" s="137"/>
      <c r="D212" s="137"/>
      <c r="E212" s="137"/>
      <c r="F212" s="137"/>
      <c r="G212" s="137"/>
      <c r="H212" s="137"/>
    </row>
    <row r="213" spans="1:8" ht="13.5">
      <c r="A213" s="137"/>
      <c r="B213" s="137"/>
      <c r="C213" s="137"/>
      <c r="D213" s="137"/>
      <c r="E213" s="137"/>
      <c r="F213" s="137"/>
      <c r="G213" s="137"/>
      <c r="H213" s="137"/>
    </row>
    <row r="214" spans="1:8" ht="13.5">
      <c r="A214" s="137"/>
      <c r="B214" s="137"/>
      <c r="C214" s="137"/>
      <c r="D214" s="137"/>
      <c r="E214" s="137"/>
      <c r="F214" s="137"/>
      <c r="G214" s="137"/>
      <c r="H214" s="137"/>
    </row>
    <row r="215" spans="1:8" ht="13.5">
      <c r="A215" s="137"/>
      <c r="B215" s="137"/>
      <c r="C215" s="137"/>
      <c r="D215" s="137"/>
      <c r="E215" s="137"/>
      <c r="F215" s="137"/>
      <c r="G215" s="137"/>
      <c r="H215" s="137"/>
    </row>
    <row r="216" spans="1:8" ht="13.5">
      <c r="A216" s="137"/>
      <c r="B216" s="137"/>
      <c r="C216" s="137"/>
      <c r="D216" s="137"/>
      <c r="E216" s="137"/>
      <c r="F216" s="137"/>
      <c r="G216" s="137"/>
      <c r="H216" s="137"/>
    </row>
    <row r="217" spans="1:8" ht="13.5">
      <c r="A217" s="137"/>
      <c r="B217" s="137"/>
      <c r="C217" s="137"/>
      <c r="D217" s="137"/>
      <c r="E217" s="137"/>
      <c r="F217" s="137"/>
      <c r="G217" s="137"/>
      <c r="H217" s="137"/>
    </row>
    <row r="218" spans="1:8" ht="13.5">
      <c r="A218" s="137"/>
      <c r="B218" s="137"/>
      <c r="C218" s="137"/>
      <c r="D218" s="137"/>
      <c r="E218" s="137"/>
      <c r="F218" s="137"/>
      <c r="G218" s="137"/>
      <c r="H218" s="137"/>
    </row>
    <row r="219" spans="1:8" ht="13.5">
      <c r="A219" s="137"/>
      <c r="B219" s="137"/>
      <c r="C219" s="137"/>
      <c r="D219" s="137"/>
      <c r="E219" s="137"/>
      <c r="F219" s="137"/>
      <c r="G219" s="137"/>
      <c r="H219" s="137"/>
    </row>
    <row r="220" spans="1:8" ht="13.5">
      <c r="A220" s="137"/>
      <c r="B220" s="137"/>
      <c r="C220" s="137"/>
      <c r="D220" s="137"/>
      <c r="E220" s="137"/>
      <c r="F220" s="137"/>
      <c r="G220" s="137"/>
      <c r="H220" s="137"/>
    </row>
    <row r="221" spans="1:8" ht="13.5">
      <c r="A221" s="137"/>
      <c r="B221" s="137"/>
      <c r="C221" s="137"/>
      <c r="D221" s="137"/>
      <c r="E221" s="137"/>
      <c r="F221" s="137"/>
      <c r="G221" s="137"/>
      <c r="H221" s="137"/>
    </row>
    <row r="222" spans="1:8" ht="13.5">
      <c r="A222" s="137"/>
      <c r="B222" s="137"/>
      <c r="C222" s="137"/>
      <c r="D222" s="137"/>
      <c r="E222" s="137"/>
      <c r="F222" s="137"/>
      <c r="G222" s="137"/>
      <c r="H222" s="137"/>
    </row>
    <row r="223" spans="1:8" ht="13.5">
      <c r="A223" s="137"/>
      <c r="B223" s="137"/>
      <c r="C223" s="137"/>
      <c r="D223" s="137"/>
      <c r="E223" s="137"/>
      <c r="F223" s="137"/>
      <c r="G223" s="137"/>
      <c r="H223" s="137"/>
    </row>
    <row r="224" spans="1:8" ht="13.5">
      <c r="A224" s="137"/>
      <c r="B224" s="137"/>
      <c r="C224" s="137"/>
      <c r="D224" s="137"/>
      <c r="E224" s="137"/>
      <c r="F224" s="137"/>
      <c r="G224" s="137"/>
      <c r="H224" s="137"/>
    </row>
    <row r="225" spans="1:8" ht="13.5">
      <c r="A225" s="137"/>
      <c r="B225" s="137"/>
      <c r="C225" s="137"/>
      <c r="D225" s="137"/>
      <c r="E225" s="137"/>
      <c r="F225" s="137"/>
      <c r="G225" s="137"/>
      <c r="H225" s="137"/>
    </row>
    <row r="226" spans="1:8" ht="13.5">
      <c r="A226" s="137"/>
      <c r="B226" s="137"/>
      <c r="C226" s="137"/>
      <c r="D226" s="137"/>
      <c r="E226" s="137"/>
      <c r="F226" s="137"/>
      <c r="G226" s="137"/>
      <c r="H226" s="137"/>
    </row>
    <row r="227" spans="1:8" ht="13.5">
      <c r="A227" s="137"/>
      <c r="B227" s="137"/>
      <c r="C227" s="137"/>
      <c r="D227" s="137"/>
      <c r="E227" s="137"/>
      <c r="F227" s="137"/>
      <c r="G227" s="137"/>
      <c r="H227" s="137"/>
    </row>
    <row r="228" spans="1:8" ht="13.5">
      <c r="A228" s="137"/>
      <c r="B228" s="137"/>
      <c r="C228" s="137"/>
      <c r="D228" s="137"/>
      <c r="E228" s="137"/>
      <c r="F228" s="137"/>
      <c r="G228" s="137"/>
      <c r="H228" s="137"/>
    </row>
    <row r="229" spans="1:8" ht="13.5">
      <c r="A229" s="137"/>
      <c r="B229" s="137"/>
      <c r="C229" s="137"/>
      <c r="D229" s="137"/>
      <c r="E229" s="137"/>
      <c r="F229" s="137"/>
      <c r="G229" s="137"/>
      <c r="H229" s="137"/>
    </row>
    <row r="230" spans="1:8" ht="13.5">
      <c r="A230" s="137"/>
      <c r="B230" s="137"/>
      <c r="C230" s="137"/>
      <c r="D230" s="137"/>
      <c r="E230" s="137"/>
      <c r="F230" s="137"/>
      <c r="G230" s="137"/>
      <c r="H230" s="137"/>
    </row>
    <row r="231" spans="1:8" ht="13.5">
      <c r="A231" s="137"/>
      <c r="B231" s="137"/>
      <c r="C231" s="137"/>
      <c r="D231" s="137"/>
      <c r="E231" s="137"/>
      <c r="F231" s="137"/>
      <c r="G231" s="137"/>
      <c r="H231" s="137"/>
    </row>
  </sheetData>
  <sheetProtection/>
  <mergeCells count="28">
    <mergeCell ref="D55:D56"/>
    <mergeCell ref="G55:G56"/>
    <mergeCell ref="D60:D61"/>
    <mergeCell ref="G60:G61"/>
    <mergeCell ref="D43:D44"/>
    <mergeCell ref="G43:G44"/>
    <mergeCell ref="D46:D47"/>
    <mergeCell ref="G46:G47"/>
    <mergeCell ref="D50:D51"/>
    <mergeCell ref="G50:G51"/>
    <mergeCell ref="D30:D31"/>
    <mergeCell ref="G30:G31"/>
    <mergeCell ref="D35:D36"/>
    <mergeCell ref="G35:G36"/>
    <mergeCell ref="D38:D39"/>
    <mergeCell ref="G38:G39"/>
    <mergeCell ref="D11:D12"/>
    <mergeCell ref="G11:G12"/>
    <mergeCell ref="D16:D17"/>
    <mergeCell ref="G16:G17"/>
    <mergeCell ref="D21:D22"/>
    <mergeCell ref="G21:G22"/>
    <mergeCell ref="A1:G1"/>
    <mergeCell ref="A2:G2"/>
    <mergeCell ref="A3:G3"/>
    <mergeCell ref="A4:G4"/>
    <mergeCell ref="C8:D8"/>
    <mergeCell ref="F8:G8"/>
  </mergeCells>
  <printOptions/>
  <pageMargins left="0.7" right="0.7" top="0.75" bottom="0.75" header="0.3" footer="0.3"/>
  <pageSetup horizontalDpi="600" verticalDpi="600" orientation="portrait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Organización Desconocida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DEPOSITOS EL GRAN ROBLE</dc:creator>
  <cp:keywords/>
  <dc:description/>
  <cp:lastModifiedBy>CONTABILIDAD</cp:lastModifiedBy>
  <cp:lastPrinted>2016-02-22T15:49:38Z</cp:lastPrinted>
  <dcterms:created xsi:type="dcterms:W3CDTF">1998-03-18T16:43:36Z</dcterms:created>
  <dcterms:modified xsi:type="dcterms:W3CDTF">2016-03-01T21:06:50Z</dcterms:modified>
  <cp:category/>
  <cp:version/>
  <cp:contentType/>
  <cp:contentStatus/>
</cp:coreProperties>
</file>